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3545" windowHeight="12495" tabRatio="911" firstSheet="2" activeTab="4"/>
  </bookViews>
  <sheets>
    <sheet name="All products" sheetId="1" r:id="rId1"/>
    <sheet name="Electricity" sheetId="2" r:id="rId2"/>
    <sheet name="Heat" sheetId="3" r:id="rId3"/>
    <sheet name="1A1a dataviewer" sheetId="4" r:id="rId4"/>
    <sheet name="Fig 2" sheetId="5" r:id="rId5"/>
    <sheet name="Data for Fig 2" sheetId="6" r:id="rId6"/>
    <sheet name="Data for Fig 1a" sheetId="7" r:id="rId7"/>
    <sheet name="Data for Fig 1b" sheetId="8" r:id="rId8"/>
  </sheets>
  <definedNames>
    <definedName name="gwh_conv" localSheetId="7">'Data for Fig 1b'!$A$35</definedName>
    <definedName name="gwh_conv">'Data for Fig 1a'!$A$35</definedName>
  </definedNames>
  <calcPr fullCalcOnLoad="1"/>
</workbook>
</file>

<file path=xl/comments7.xml><?xml version="1.0" encoding="utf-8"?>
<comments xmlns="http://schemas.openxmlformats.org/spreadsheetml/2006/main">
  <authors>
    <author>Ben Pearson</author>
  </authors>
  <commentList>
    <comment ref="L1" authorId="0">
      <text>
        <r>
          <rPr>
            <sz val="8"/>
            <rFont val="Tahoma"/>
            <family val="2"/>
          </rPr>
          <t>Public heat + residual heat +district heat * (ratio of efficiencies of PH:DH)</t>
        </r>
      </text>
    </comment>
    <comment ref="M1" authorId="0">
      <text>
        <r>
          <rPr>
            <sz val="8"/>
            <rFont val="Tahoma"/>
            <family val="2"/>
          </rPr>
          <t>Share of Total non-auto generated heat &amp; electricity</t>
        </r>
      </text>
    </comment>
  </commentList>
</comments>
</file>

<file path=xl/comments8.xml><?xml version="1.0" encoding="utf-8"?>
<comments xmlns="http://schemas.openxmlformats.org/spreadsheetml/2006/main">
  <authors>
    <author>Ben Pearson</author>
  </authors>
  <commentList>
    <comment ref="L1" authorId="0">
      <text>
        <r>
          <rPr>
            <sz val="8"/>
            <rFont val="Tahoma"/>
            <family val="2"/>
          </rPr>
          <t>Public heat + residual heat +district heat * (ratio of efficiencies of PH:DH)</t>
        </r>
      </text>
    </comment>
    <comment ref="M1" authorId="0">
      <text>
        <r>
          <rPr>
            <sz val="8"/>
            <rFont val="Tahoma"/>
            <family val="2"/>
          </rPr>
          <t>Share of Total non-auto generated heat &amp; electricity</t>
        </r>
      </text>
    </comment>
  </commentList>
</comments>
</file>

<file path=xl/sharedStrings.xml><?xml version="1.0" encoding="utf-8"?>
<sst xmlns="http://schemas.openxmlformats.org/spreadsheetml/2006/main" count="1840" uniqueCount="196">
  <si>
    <t/>
  </si>
  <si>
    <t>Extracted on</t>
  </si>
  <si>
    <t>INDICATORS</t>
  </si>
  <si>
    <t>VALUE</t>
  </si>
  <si>
    <t>Energy indicator</t>
  </si>
  <si>
    <t>Products</t>
  </si>
  <si>
    <t>Unit</t>
  </si>
  <si>
    <t>geo/time</t>
  </si>
  <si>
    <t>AT Austria</t>
  </si>
  <si>
    <t>BE Belgium</t>
  </si>
  <si>
    <t>BG Bulgaria</t>
  </si>
  <si>
    <t>CH Switzerland</t>
  </si>
  <si>
    <t>CY Cyprus</t>
  </si>
  <si>
    <t>CZ Czech Republic</t>
  </si>
  <si>
    <t>DK Denmark</t>
  </si>
  <si>
    <t>EA12 Euro area (BE, DE, IE, GR, ES, FR, IT, LU, NL, AT, PT, FI)</t>
  </si>
  <si>
    <t>EA13 Euro area (BE, DE, IE, GR, ES, FR, IT, LU, NL, AT, PT, SI, FI)</t>
  </si>
  <si>
    <t>EA15 Euro area (BE, DE, IE, GR, ES, FR, IT, CY, LU, MT, NL, AT, PT, SI, FI)</t>
  </si>
  <si>
    <t>EA16 Euro area (BE, DE, IE, GR, ES, FR, IT, CY, LU, MT, NL, AT, PT, SK, SI, FI)</t>
  </si>
  <si>
    <t>EE Estonia</t>
  </si>
  <si>
    <t>ES Spain</t>
  </si>
  <si>
    <t>EU15 European Union (15 countries)</t>
  </si>
  <si>
    <t>EU25 European Union (25 countries)</t>
  </si>
  <si>
    <t>EU27 European Union (27 countries)</t>
  </si>
  <si>
    <t>FI Finland</t>
  </si>
  <si>
    <t>FR France</t>
  </si>
  <si>
    <t>GR Greece</t>
  </si>
  <si>
    <t>HR Croatia</t>
  </si>
  <si>
    <t>HU Hungary</t>
  </si>
  <si>
    <t>IE Ireland</t>
  </si>
  <si>
    <t>IS Iceland</t>
  </si>
  <si>
    <t>IT Italy</t>
  </si>
  <si>
    <t>LT Lithuania</t>
  </si>
  <si>
    <t>LV Latvia</t>
  </si>
  <si>
    <t>MT Malta</t>
  </si>
  <si>
    <t>NL Netherlands</t>
  </si>
  <si>
    <t>NMS10 New Member States (CZ, EE, CY, LV, LT, HU, MT, PL, SI, SK)</t>
  </si>
  <si>
    <t>NO Norway</t>
  </si>
  <si>
    <t>PL Poland</t>
  </si>
  <si>
    <t>PT Portugal</t>
  </si>
  <si>
    <t>RO Romania</t>
  </si>
  <si>
    <t>SE Sweden</t>
  </si>
  <si>
    <t>SI Slovenia</t>
  </si>
  <si>
    <t>SK Slovakia</t>
  </si>
  <si>
    <t>TR Turkey</t>
  </si>
  <si>
    <t>UK United Kingdom</t>
  </si>
  <si>
    <t>Labels</t>
  </si>
  <si>
    <t>1A1a CO2 (gr)</t>
  </si>
  <si>
    <t>CO2</t>
  </si>
  <si>
    <t>Public heat (Gwh)</t>
  </si>
  <si>
    <t>PH</t>
  </si>
  <si>
    <t>District heating (Gwh)</t>
  </si>
  <si>
    <t>DH</t>
  </si>
  <si>
    <t>Efficiency public thermal (%)</t>
  </si>
  <si>
    <t>E_PH</t>
  </si>
  <si>
    <t>Efficiency district heating (%)</t>
  </si>
  <si>
    <t>E_DH</t>
  </si>
  <si>
    <t>Residual heat (Gwh)</t>
  </si>
  <si>
    <t>res</t>
  </si>
  <si>
    <t>Total heat and electricity (Gwh)</t>
  </si>
  <si>
    <t>THE</t>
  </si>
  <si>
    <t>Electricity and heat from autoproducers (Gwh)</t>
  </si>
  <si>
    <t>aHE</t>
  </si>
  <si>
    <t>Total electricity (Gwh)</t>
  </si>
  <si>
    <t>TE</t>
  </si>
  <si>
    <t>Electricity from autoproducers (Gwh)</t>
  </si>
  <si>
    <t>aE</t>
  </si>
  <si>
    <t>Volume of heat corrected</t>
  </si>
  <si>
    <t>Share of heat corrected</t>
  </si>
  <si>
    <t>Share of electricity corrected</t>
  </si>
  <si>
    <t>CO2 heat (gr)</t>
  </si>
  <si>
    <t>CO2 electricity (gr)</t>
  </si>
  <si>
    <t>CO2 electricity (gr) per Kwh</t>
  </si>
  <si>
    <t>Formula</t>
  </si>
  <si>
    <t>E.g.</t>
  </si>
  <si>
    <t>EEA dataviewer</t>
  </si>
  <si>
    <t>101121 - Output from public thermal power stations (all products) / 101021 - Input to public thermal power stations (all products)</t>
  </si>
  <si>
    <t>101109 - Output from district heating plants (all products) / 101009 - Input to district heating plants (all products)</t>
  </si>
  <si>
    <t>107000 - Total gross electricity generation (Electrical energy)</t>
  </si>
  <si>
    <t>101122 - Output from autoproducer thermal power stations (electrical energy)</t>
  </si>
  <si>
    <t>Public heat + residual heat + (district heating x (efficiency public thermal / efficiency district heating))</t>
  </si>
  <si>
    <t>volume of heat corrected / (total heat and electricity - Electricity and heat from autoproducers)</t>
  </si>
  <si>
    <t>1 - share of heat corrected</t>
  </si>
  <si>
    <t>Share of heat corrected x  1A1a</t>
  </si>
  <si>
    <t>Share of electricity x 1A1a</t>
  </si>
  <si>
    <t>http://dataservice.eea.europa.eu/pivotapp/pivot.aspx?pivotid=475</t>
  </si>
  <si>
    <t>101101  Output from conventional thermal power stations</t>
  </si>
  <si>
    <t>5200  Derived Heat</t>
  </si>
  <si>
    <t>TJ_GCV  Terajoules (Gross calorific value = GCV)</t>
  </si>
  <si>
    <t>DE Germany (including exGDR from 1991)</t>
  </si>
  <si>
    <t>EA Euro area (EA112000, EA122006, EA132007, EA152008, EA16)</t>
  </si>
  <si>
    <t>EEA18 European Economic Area (EEA) (EU15 plus IS, LI, NO)</t>
  </si>
  <si>
    <t>LU Luxembourg (GrandDuché)</t>
  </si>
  <si>
    <t>101109  Output from district heating plants</t>
  </si>
  <si>
    <t>101121  Output from public thermal power stations</t>
  </si>
  <si>
    <t>101122  Output from autoproducer thermal power stations</t>
  </si>
  <si>
    <t>6000  Electrical Energy</t>
  </si>
  <si>
    <t>TJ_NCV  Terajoules (Net calorific value = NCV)</t>
  </si>
  <si>
    <t>107000  Total gross electricity generation</t>
  </si>
  <si>
    <t>GWH  Gigawatt hour</t>
  </si>
  <si>
    <t>107011  Gross electricity generation  Biomassfired power stations</t>
  </si>
  <si>
    <t>101009  Input to district heating plants</t>
  </si>
  <si>
    <t>0000  All Products</t>
  </si>
  <si>
    <t>101021  Input to public thermal power stations</t>
  </si>
  <si>
    <t>gapfilled from previous year</t>
  </si>
  <si>
    <t>TJ_NCV</t>
  </si>
  <si>
    <t>101100 - Transformation output</t>
  </si>
  <si>
    <t>5200 Derived heat</t>
  </si>
  <si>
    <t>Max 100</t>
  </si>
  <si>
    <t>Min 0</t>
  </si>
  <si>
    <t>Gg</t>
  </si>
  <si>
    <t>1.A.1.A. Public Electricity and Heat Production CO2 only</t>
  </si>
  <si>
    <t>Austria</t>
  </si>
  <si>
    <t>Belgium</t>
  </si>
  <si>
    <t>Bulgaria</t>
  </si>
  <si>
    <t>Cyprus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</si>
  <si>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</si>
  <si>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</si>
  <si>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</si>
  <si>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</si>
  <si>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</si>
  <si>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</si>
  <si>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</si>
  <si>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</si>
  <si>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Iceland</t>
  </si>
  <si>
    <t>Italy</t>
  </si>
  <si>
    <t>Lithuania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</si>
  <si>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</si>
  <si>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</si>
  <si>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</si>
  <si>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</si>
  <si>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</si>
  <si>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</si>
  <si>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</si>
  <si>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</si>
  <si>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</si>
  <si>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Slovakia</t>
  </si>
  <si>
    <t>Turkey</t>
  </si>
  <si>
    <t>CO2*{1[(PH+DH*E_PH/E_DH+res)/(THEaHE)}/(TEaE)</t>
  </si>
  <si>
    <t>CO2 electricity (grammes)</t>
  </si>
  <si>
    <t>Total (public) electricity</t>
  </si>
  <si>
    <t>Electricity of fossil fuel origin</t>
  </si>
  <si>
    <t xml:space="preserve">Total (public) heat and electricity of fossil fuel origin (Tj) </t>
  </si>
  <si>
    <t>Total (public) heat and electricity (Tj)</t>
  </si>
  <si>
    <t>Croatia</t>
  </si>
  <si>
    <t>Czech Republic</t>
  </si>
  <si>
    <t>Germany (including ex-GDR from 1991)</t>
  </si>
  <si>
    <t>Euro area (EA11-2000, EA12-2006, EA13-2007, EA15-2008, EA16)</t>
  </si>
  <si>
    <t>Euro area (12 countries)</t>
  </si>
  <si>
    <t>Euro area (13 countries)</t>
  </si>
  <si>
    <t>Euro area (15 countries)</t>
  </si>
  <si>
    <t>Euro area (16 countries)</t>
  </si>
  <si>
    <t>European Economic Area (EEA) (EU-15 plus IS, LI, NO)</t>
  </si>
  <si>
    <t>European Union (15 countries)</t>
  </si>
  <si>
    <t>European Union (25 countries)</t>
  </si>
  <si>
    <t>European Union (27 countries)</t>
  </si>
  <si>
    <t>Luxembourg (Grand-Duché)</t>
  </si>
  <si>
    <t>New Member States (CZ, EE, CY, LV, LT, HU, MT, PL, SI, SK)</t>
  </si>
  <si>
    <t>United Kingdom</t>
  </si>
  <si>
    <t>DS073180table nrg_100a  Supply, transformation, consumption  all products  annual data</t>
  </si>
  <si>
    <t>14/10/2009  134259</t>
  </si>
  <si>
    <t>14/10/2009  134552</t>
  </si>
  <si>
    <t>14/10/2009  134943</t>
  </si>
  <si>
    <t>DS073190table nrg_105a  Supply, transformation, consumption  electricity   annual data</t>
  </si>
  <si>
    <t>14/10/2009  131347</t>
  </si>
  <si>
    <t>14/10/2009  131921</t>
  </si>
  <si>
    <t>14/10/2009  133144</t>
  </si>
  <si>
    <t>14/10/2009  133446</t>
  </si>
  <si>
    <t>21/10/2009  161414</t>
  </si>
  <si>
    <t>DS073192table nrg_106a  Supply, transformation, consumption  heat  annual data</t>
  </si>
  <si>
    <t>14/10/2009  124041</t>
  </si>
  <si>
    <t>14/10/2009  124531</t>
  </si>
  <si>
    <t>14/10/2009  124842</t>
  </si>
  <si>
    <t>14/10/2009  125440</t>
  </si>
  <si>
    <t>109300  Origin  Biomass</t>
  </si>
  <si>
    <t>19/10/2009  192648</t>
  </si>
  <si>
    <t>101121 - Output from public thermal power stations (Derived heat)/gwh_conv</t>
  </si>
  <si>
    <t>101109 - Output from district heating plants (Derived heat)/gwh_conv</t>
  </si>
  <si>
    <t>(101100 - Transformation output (Derived heat) - 101101 - Output from conventional thermal power stations (Derived heat) - 101109 - Output from district heating plants (Derived heat))/gwh_conv</t>
  </si>
  <si>
    <t>107000 - Total gross electricity generation + (101100 - Transformation output (Derived heat)/gwh_conv)</t>
  </si>
  <si>
    <t>(101122 - Output from autoproducer thermal power stations (electrical energy) + 101122 - Output from autoproducer thermal power stations (Derived heat))/gwh_conv</t>
  </si>
  <si>
    <t>CO2 electricity / ((Total electricity - electricity from autoproducers)*10^6)</t>
  </si>
  <si>
    <t>KWh electricity 'produced'</t>
  </si>
  <si>
    <t>Est. g. CO2 electricity-only / KWh electricity from fossil fuels</t>
  </si>
  <si>
    <r>
      <t>CO</t>
    </r>
    <r>
      <rPr>
        <vertAlign val="subscript"/>
        <sz val="11"/>
        <color indexed="12"/>
        <rFont val="Cambria"/>
        <family val="1"/>
      </rPr>
      <t>2</t>
    </r>
    <r>
      <rPr>
        <sz val="11"/>
        <color indexed="12"/>
        <rFont val="Cambria"/>
        <family val="1"/>
      </rPr>
      <t xml:space="preserve"> electricity (grammes)</t>
    </r>
  </si>
  <si>
    <r>
      <t>Est. g. CO</t>
    </r>
    <r>
      <rPr>
        <vertAlign val="subscript"/>
        <sz val="11"/>
        <color indexed="12"/>
        <rFont val="Cambria"/>
        <family val="1"/>
      </rPr>
      <t>2</t>
    </r>
    <r>
      <rPr>
        <sz val="11"/>
        <color indexed="12"/>
        <rFont val="Cambria"/>
        <family val="1"/>
      </rPr>
      <t xml:space="preserve"> electricity-only / KWh electricity from fossil fuels and biomass</t>
    </r>
  </si>
  <si>
    <r>
      <t>Est. g.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electricity-only / KWh electricity from all fuels</t>
    </r>
  </si>
  <si>
    <r>
      <t>Est. g. CO</t>
    </r>
    <r>
      <rPr>
        <vertAlign val="subscript"/>
        <sz val="11"/>
        <color indexed="12"/>
        <rFont val="Cambria"/>
        <family val="1"/>
      </rPr>
      <t>2</t>
    </r>
    <r>
      <rPr>
        <sz val="11"/>
        <color indexed="12"/>
        <rFont val="Cambria"/>
        <family val="1"/>
      </rPr>
      <t xml:space="preserve"> electricity-only / KWh electricity from fossil fuels</t>
    </r>
  </si>
  <si>
    <r>
      <t>Est. g. CO</t>
    </r>
    <r>
      <rPr>
        <vertAlign val="subscript"/>
        <sz val="11"/>
        <color indexed="12"/>
        <rFont val="Cambria"/>
        <family val="1"/>
      </rPr>
      <t>2</t>
    </r>
    <r>
      <rPr>
        <sz val="11"/>
        <color indexed="12"/>
        <rFont val="Cambria"/>
        <family val="1"/>
      </rPr>
      <t xml:space="preserve"> electricity-only / KWh electricity from all fuels</t>
    </r>
  </si>
  <si>
    <t>14/10/2009  134023</t>
  </si>
  <si>
    <t>14/10/2009  130817</t>
  </si>
  <si>
    <t>14/10/2009  123839</t>
  </si>
  <si>
    <t>Germany</t>
  </si>
  <si>
    <t>Luxembourg</t>
  </si>
  <si>
    <t>Switzerland</t>
  </si>
  <si>
    <t>EU27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</si>
</sst>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\ hh:mm:ss"/>
    <numFmt numFmtId="165" formatCode="0.0%"/>
    <numFmt numFmtId="166" formatCode="0.0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1 GWh = &quot;#.#&quot; TJ&quot;"/>
  </numFmts>
  <fonts count="52">
    <font>
      <sz val="10"/>
      <name val="Arial"/>
      <family val="0"/>
    </font>
    <font>
      <b/>
      <sz val="14"/>
      <color indexed="12"/>
      <name val="Arial"/>
      <family val="0"/>
    </font>
    <font>
      <sz val="11"/>
      <name val="Cambria"/>
      <family val="1"/>
    </font>
    <font>
      <i/>
      <sz val="11"/>
      <name val="Cambria"/>
      <family val="1"/>
    </font>
    <font>
      <b/>
      <sz val="11"/>
      <name val="Cambria"/>
      <family val="1"/>
    </font>
    <font>
      <u val="single"/>
      <sz val="10"/>
      <color indexed="12"/>
      <name val="Arial"/>
      <family val="0"/>
    </font>
    <font>
      <sz val="11"/>
      <color indexed="12"/>
      <name val="Cambria"/>
      <family val="1"/>
    </font>
    <font>
      <sz val="10"/>
      <color indexed="8"/>
      <name val="Arial"/>
      <family val="2"/>
    </font>
    <font>
      <sz val="9.5"/>
      <color indexed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vertAlign val="subscript"/>
      <sz val="11"/>
      <color indexed="12"/>
      <name val="Cambria"/>
      <family val="1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color indexed="8"/>
      <name val="Arial"/>
      <family val="2"/>
    </font>
    <font>
      <vertAlign val="subscript"/>
      <sz val="10"/>
      <color indexed="8"/>
      <name val="Arial"/>
      <family val="2"/>
    </font>
    <font>
      <b/>
      <sz val="14"/>
      <color indexed="8"/>
      <name val="Arial"/>
      <family val="2"/>
    </font>
    <font>
      <b/>
      <vertAlign val="subscript"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49"/>
      </top>
      <bottom>
        <color indexed="63"/>
      </bottom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center" shrinkToFit="1"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3" fontId="2" fillId="34" borderId="0" xfId="0" applyNumberFormat="1" applyFont="1" applyFill="1" applyAlignment="1">
      <alignment/>
    </xf>
    <xf numFmtId="165" fontId="2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165" fontId="2" fillId="34" borderId="0" xfId="58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1" fontId="4" fillId="34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0" borderId="0" xfId="58" applyNumberFormat="1" applyFont="1" applyFill="1" applyBorder="1" applyAlignment="1">
      <alignment/>
    </xf>
    <xf numFmtId="10" fontId="0" fillId="0" borderId="0" xfId="58" applyNumberFormat="1" applyFont="1" applyFill="1" applyBorder="1" applyAlignment="1">
      <alignment/>
    </xf>
    <xf numFmtId="0" fontId="0" fillId="35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0" fillId="33" borderId="1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6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0" fillId="33" borderId="10" xfId="0" applyNumberForma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left" shrinkToFit="1"/>
    </xf>
    <xf numFmtId="171" fontId="9" fillId="33" borderId="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/>
    </xf>
    <xf numFmtId="0" fontId="5" fillId="0" borderId="0" xfId="52" applyNumberFormat="1" applyFill="1" applyBorder="1" applyAlignment="1" applyProtection="1">
      <alignment horizontal="left"/>
      <protection/>
    </xf>
    <xf numFmtId="0" fontId="0" fillId="0" borderId="0" xfId="0" applyNumberForma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575"/>
          <c:w val="0.954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 2'!$A$6:$A$8</c:f>
              <c:strCache>
                <c:ptCount val="3"/>
                <c:pt idx="0">
                  <c:v>Est. g. CO2 electricity-only / KWh electricity from fossil fuels</c:v>
                </c:pt>
                <c:pt idx="1">
                  <c:v>Est. g. CO2 electricity-only / KWh electricity from fossil fuels and biomass</c:v>
                </c:pt>
                <c:pt idx="2">
                  <c:v>Est. g. CO2 electricity-only / KWh electricity from all fuels</c:v>
                </c:pt>
              </c:strCache>
            </c:strRef>
          </c:cat>
          <c:val>
            <c:numRef>
              <c:f>'Data for Fig 2'!$B$6:$B$8</c:f>
              <c:numCache>
                <c:ptCount val="3"/>
                <c:pt idx="0">
                  <c:v>651.2012575954946</c:v>
                </c:pt>
                <c:pt idx="1">
                  <c:v>597.3470640750854</c:v>
                </c:pt>
                <c:pt idx="2">
                  <c:v>364.4813088985708</c:v>
                </c:pt>
              </c:numCache>
            </c:numRef>
          </c:val>
        </c:ser>
        <c:axId val="28218250"/>
        <c:axId val="52637659"/>
      </c:barChart>
      <c:catAx>
        <c:axId val="28218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37659"/>
        <c:crosses val="autoZero"/>
        <c:auto val="1"/>
        <c:lblOffset val="20"/>
        <c:tickLblSkip val="1"/>
        <c:noMultiLvlLbl val="0"/>
      </c:catAx>
      <c:valAx>
        <c:axId val="52637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grammes / Kwh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182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0.0715</cdr:x>
      <cdr:y>0.93675</cdr:y>
    </cdr:from>
    <cdr:to>
      <cdr:x>0.99175</cdr:x>
      <cdr:y>0.99975</cdr:y>
    </cdr:to>
    <cdr:sp>
      <cdr:nvSpPr>
        <cdr:cNvPr id="1" name="Text Box 2"/>
        <cdr:cNvSpPr txBox="1">
          <a:spLocks noChangeArrowheads="1"/>
        </cdr:cNvSpPr>
      </cdr:nvSpPr>
      <cdr:spPr>
        <a:xfrm>
          <a:off x="657225" y="5334000"/>
          <a:ext cx="8543925" cy="361950"/>
        </a:xfrm>
        <a:prstGeom prst="rect">
          <a:avLst/>
        </a:prstGeom>
        <a:noFill/>
        <a:ln w="6350" cmpd="sng">
          <a:solidFill>
            <a:srgbClr val="969696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electricity-only production has been estimated based on the  input and output of heat and electricity by fuel (excluding autoproduction) using Eurostat's energy balances,  and 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emissions (excluding biomass) from the 2010 EU greenhouse gas inventory. </a:t>
          </a:r>
        </a:p>
      </cdr:txBody>
    </cdr:sp>
  </cdr:relSizeAnchor>
  <cdr:relSizeAnchor xmlns:cdr="http://schemas.openxmlformats.org/drawingml/2006/chartDrawing">
    <cdr:from>
      <cdr:x>0.3285</cdr:x>
      <cdr:y>0.28475</cdr:y>
    </cdr:from>
    <cdr:to>
      <cdr:x>0.4365</cdr:x>
      <cdr:y>0.3495</cdr:y>
    </cdr:to>
    <cdr:sp>
      <cdr:nvSpPr>
        <cdr:cNvPr id="2" name="Text Box 4"/>
        <cdr:cNvSpPr txBox="1">
          <a:spLocks noChangeArrowheads="1"/>
        </cdr:cNvSpPr>
      </cdr:nvSpPr>
      <cdr:spPr>
        <a:xfrm>
          <a:off x="3048000" y="1619250"/>
          <a:ext cx="1000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Combustable energy sources</a:t>
          </a:r>
        </a:p>
      </cdr:txBody>
    </cdr:sp>
  </cdr:relSizeAnchor>
  <cdr:relSizeAnchor xmlns:cdr="http://schemas.openxmlformats.org/drawingml/2006/chartDrawing">
    <cdr:from>
      <cdr:x>0.29725</cdr:x>
      <cdr:y>0.3205</cdr:y>
    </cdr:from>
    <cdr:to>
      <cdr:x>0.321</cdr:x>
      <cdr:y>0.3205</cdr:y>
    </cdr:to>
    <cdr:sp>
      <cdr:nvSpPr>
        <cdr:cNvPr id="3" name="Line 5"/>
        <cdr:cNvSpPr>
          <a:spLocks/>
        </cdr:cNvSpPr>
      </cdr:nvSpPr>
      <cdr:spPr>
        <a:xfrm flipH="1">
          <a:off x="2752725" y="1819275"/>
          <a:ext cx="21907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0.4365</cdr:x>
      <cdr:y>0.3205</cdr:y>
    </cdr:from>
    <cdr:to>
      <cdr:x>0.4605</cdr:x>
      <cdr:y>0.3205</cdr:y>
    </cdr:to>
    <cdr:sp>
      <cdr:nvSpPr>
        <cdr:cNvPr id="4" name="Line 6"/>
        <cdr:cNvSpPr>
          <a:spLocks/>
        </cdr:cNvSpPr>
      </cdr:nvSpPr>
      <cdr:spPr>
        <a:xfrm>
          <a:off x="4048125" y="1819275"/>
          <a:ext cx="21907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0.742</cdr:x>
      <cdr:y>0.28475</cdr:y>
    </cdr:from>
    <cdr:to>
      <cdr:x>0.94175</cdr:x>
      <cdr:y>0.354</cdr:y>
    </cdr:to>
    <cdr:sp>
      <cdr:nvSpPr>
        <cdr:cNvPr id="5" name="Text Box 7"/>
        <cdr:cNvSpPr txBox="1">
          <a:spLocks noChangeArrowheads="1"/>
        </cdr:cNvSpPr>
      </cdr:nvSpPr>
      <cdr:spPr>
        <a:xfrm>
          <a:off x="6886575" y="1619250"/>
          <a:ext cx="1857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energy sources: fossil fuels, nuclear and renewables</a:t>
          </a:r>
        </a:p>
      </cdr:txBody>
    </cdr:sp>
  </cdr:relSizeAnchor>
  <cdr:relSizeAnchor xmlns:cdr="http://schemas.openxmlformats.org/drawingml/2006/chartDrawing">
    <cdr:from>
      <cdr:x>0.829</cdr:x>
      <cdr:y>0.354</cdr:y>
    </cdr:from>
    <cdr:to>
      <cdr:x>0.83</cdr:x>
      <cdr:y>0.45975</cdr:y>
    </cdr:to>
    <cdr:sp>
      <cdr:nvSpPr>
        <cdr:cNvPr id="6" name="Line 8"/>
        <cdr:cNvSpPr>
          <a:spLocks/>
        </cdr:cNvSpPr>
      </cdr:nvSpPr>
      <cdr:spPr>
        <a:xfrm>
          <a:off x="7696200" y="2009775"/>
          <a:ext cx="9525" cy="6000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0.751</cdr:x>
      <cdr:y>0.05025</cdr:y>
    </cdr:to>
    <cdr:sp>
      <cdr:nvSpPr>
        <cdr:cNvPr id="7" name="Text Box 9"/>
        <cdr:cNvSpPr txBox="1">
          <a:spLocks noChangeArrowheads="1"/>
        </cdr:cNvSpPr>
      </cdr:nvSpPr>
      <cdr:spPr>
        <a:xfrm>
          <a:off x="0" y="0"/>
          <a:ext cx="6972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CO</a:t>
          </a:r>
          <a:r>
            <a:rPr lang="en-US" cap="none" sz="14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emission factors for public electricity production in EU-27, 2008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ataservice.eea.europa.eu/pivotapp/pivot.aspx?pivotid=47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8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2.7109375" style="32" customWidth="1"/>
    <col min="2" max="2" width="27.00390625" style="0" customWidth="1"/>
    <col min="3" max="4" width="14.00390625" style="0" customWidth="1"/>
  </cols>
  <sheetData>
    <row r="1" spans="1:2" ht="18">
      <c r="A1" s="33" t="s">
        <v>159</v>
      </c>
      <c r="B1" s="1"/>
    </row>
    <row r="2" ht="12.75">
      <c r="A2" s="32" t="s">
        <v>0</v>
      </c>
    </row>
    <row r="3" spans="1:4" ht="12.75">
      <c r="A3" s="32" t="s">
        <v>1</v>
      </c>
      <c r="C3" s="2" t="s">
        <v>189</v>
      </c>
      <c r="D3" s="2"/>
    </row>
    <row r="5" spans="1:3" ht="12.75">
      <c r="A5" s="32" t="s">
        <v>2</v>
      </c>
      <c r="C5" t="s">
        <v>3</v>
      </c>
    </row>
    <row r="6" spans="1:4" ht="12.75">
      <c r="A6" s="32" t="s">
        <v>4</v>
      </c>
      <c r="C6" s="15" t="s">
        <v>101</v>
      </c>
      <c r="D6" s="15"/>
    </row>
    <row r="7" spans="1:3" ht="12.75">
      <c r="A7" s="32" t="s">
        <v>5</v>
      </c>
      <c r="C7" t="s">
        <v>102</v>
      </c>
    </row>
    <row r="8" spans="1:6" ht="12.75">
      <c r="A8" s="32" t="s">
        <v>6</v>
      </c>
      <c r="C8" t="s">
        <v>97</v>
      </c>
      <c r="F8" s="19" t="s">
        <v>104</v>
      </c>
    </row>
    <row r="10" spans="3:6" ht="12.75">
      <c r="C10">
        <v>2</v>
      </c>
      <c r="D10">
        <v>12</v>
      </c>
      <c r="E10">
        <v>19</v>
      </c>
      <c r="F10">
        <v>20</v>
      </c>
    </row>
    <row r="11" spans="1:6" ht="12.75">
      <c r="A11" s="28" t="s">
        <v>7</v>
      </c>
      <c r="B11" s="6"/>
      <c r="C11" s="3">
        <v>1990</v>
      </c>
      <c r="D11" s="3">
        <v>2000</v>
      </c>
      <c r="E11" s="3">
        <v>2007</v>
      </c>
      <c r="F11" s="3">
        <v>2008</v>
      </c>
    </row>
    <row r="12" spans="1:6" ht="12.75">
      <c r="A12" s="28" t="s">
        <v>8</v>
      </c>
      <c r="B12" s="29" t="s">
        <v>112</v>
      </c>
      <c r="C12" s="4">
        <v>14530</v>
      </c>
      <c r="D12" s="4">
        <v>23385</v>
      </c>
      <c r="E12" s="4">
        <v>25018</v>
      </c>
      <c r="F12" s="4">
        <v>28821</v>
      </c>
    </row>
    <row r="13" spans="1:6" ht="12.75">
      <c r="A13" s="28" t="s">
        <v>9</v>
      </c>
      <c r="B13" s="29" t="s">
        <v>113</v>
      </c>
      <c r="C13" s="4">
        <v>418</v>
      </c>
      <c r="D13" s="4">
        <v>1736</v>
      </c>
      <c r="E13" s="4">
        <v>64</v>
      </c>
      <c r="F13" s="4">
        <v>68</v>
      </c>
    </row>
    <row r="14" spans="1:6" ht="12.75">
      <c r="A14" s="28" t="s">
        <v>10</v>
      </c>
      <c r="B14" s="29" t="s">
        <v>114</v>
      </c>
      <c r="C14" s="4">
        <v>116425</v>
      </c>
      <c r="D14" s="4">
        <v>13577</v>
      </c>
      <c r="E14" s="4">
        <v>9586</v>
      </c>
      <c r="F14" s="4">
        <v>10240</v>
      </c>
    </row>
    <row r="15" spans="1:6" ht="12.75">
      <c r="A15" s="28" t="s">
        <v>11</v>
      </c>
      <c r="B15" s="29" t="s">
        <v>144</v>
      </c>
      <c r="C15" s="4">
        <v>1505</v>
      </c>
      <c r="D15" s="4">
        <v>3485</v>
      </c>
      <c r="E15" s="4">
        <v>3642</v>
      </c>
      <c r="F15" s="4">
        <v>3597</v>
      </c>
    </row>
    <row r="16" spans="1:6" ht="12.75">
      <c r="A16" s="28" t="s">
        <v>12</v>
      </c>
      <c r="B16" s="29" t="s">
        <v>115</v>
      </c>
      <c r="C16" s="4"/>
      <c r="D16" s="4"/>
      <c r="E16" s="4"/>
      <c r="F16" s="4"/>
    </row>
    <row r="17" spans="1:6" ht="12.75">
      <c r="A17" s="28" t="s">
        <v>13</v>
      </c>
      <c r="B17" s="29" t="s">
        <v>145</v>
      </c>
      <c r="C17" s="4">
        <v>77184</v>
      </c>
      <c r="D17" s="4">
        <v>40441</v>
      </c>
      <c r="E17" s="4">
        <v>29831</v>
      </c>
      <c r="F17" s="4">
        <v>31267</v>
      </c>
    </row>
    <row r="18" spans="1:6" ht="12.75">
      <c r="A18" s="28" t="s">
        <v>89</v>
      </c>
      <c r="B18" s="29" t="s">
        <v>146</v>
      </c>
      <c r="C18" s="4">
        <v>267611</v>
      </c>
      <c r="D18" s="4">
        <v>60158</v>
      </c>
      <c r="E18" s="4">
        <v>193417</v>
      </c>
      <c r="F18" s="4">
        <v>162011</v>
      </c>
    </row>
    <row r="19" spans="1:6" ht="12.75">
      <c r="A19" s="28" t="s">
        <v>14</v>
      </c>
      <c r="B19" s="29" t="s">
        <v>116</v>
      </c>
      <c r="C19" s="4">
        <v>42262</v>
      </c>
      <c r="D19" s="4">
        <v>21711</v>
      </c>
      <c r="E19" s="4">
        <v>23155</v>
      </c>
      <c r="F19" s="4">
        <v>24855</v>
      </c>
    </row>
    <row r="20" spans="1:6" ht="12.75">
      <c r="A20" s="28" t="s">
        <v>90</v>
      </c>
      <c r="B20" s="29" t="s">
        <v>147</v>
      </c>
      <c r="C20" s="4">
        <v>349201</v>
      </c>
      <c r="D20" s="4">
        <v>148657</v>
      </c>
      <c r="E20" s="4">
        <v>291136</v>
      </c>
      <c r="F20" s="4">
        <v>263147</v>
      </c>
    </row>
    <row r="21" spans="1:6" ht="12.75">
      <c r="A21" s="28" t="s">
        <v>15</v>
      </c>
      <c r="B21" s="30" t="s">
        <v>148</v>
      </c>
      <c r="C21" s="4">
        <v>349201</v>
      </c>
      <c r="D21" s="4">
        <v>148657</v>
      </c>
      <c r="E21" s="4">
        <v>288828</v>
      </c>
      <c r="F21" s="4">
        <v>260908</v>
      </c>
    </row>
    <row r="22" spans="1:6" ht="12.75">
      <c r="A22" s="28" t="s">
        <v>16</v>
      </c>
      <c r="B22" s="29" t="s">
        <v>149</v>
      </c>
      <c r="C22" s="4">
        <v>351410</v>
      </c>
      <c r="D22" s="4">
        <v>152151</v>
      </c>
      <c r="E22" s="4">
        <v>291136</v>
      </c>
      <c r="F22" s="4">
        <v>263147</v>
      </c>
    </row>
    <row r="23" spans="1:6" ht="12.75">
      <c r="A23" s="28" t="s">
        <v>17</v>
      </c>
      <c r="B23" s="29" t="s">
        <v>150</v>
      </c>
      <c r="C23" s="4">
        <v>351410</v>
      </c>
      <c r="D23" s="4">
        <v>152151</v>
      </c>
      <c r="E23" s="4">
        <v>291136</v>
      </c>
      <c r="F23" s="4">
        <v>263147</v>
      </c>
    </row>
    <row r="24" spans="1:6" ht="12.75">
      <c r="A24" s="28" t="s">
        <v>18</v>
      </c>
      <c r="B24" s="29" t="s">
        <v>151</v>
      </c>
      <c r="C24" s="4">
        <v>362481</v>
      </c>
      <c r="D24" s="4">
        <v>176671</v>
      </c>
      <c r="E24" s="4">
        <v>313470</v>
      </c>
      <c r="F24" s="4">
        <v>284147</v>
      </c>
    </row>
    <row r="25" spans="1:6" ht="12.75">
      <c r="A25" s="28" t="s">
        <v>19</v>
      </c>
      <c r="B25" s="29" t="s">
        <v>117</v>
      </c>
      <c r="C25" s="4">
        <v>67267</v>
      </c>
      <c r="D25" s="4">
        <v>19072</v>
      </c>
      <c r="E25" s="4">
        <v>20525</v>
      </c>
      <c r="F25" s="4">
        <v>20865</v>
      </c>
    </row>
    <row r="26" spans="1:6" ht="12.75">
      <c r="A26" s="28" t="s">
        <v>91</v>
      </c>
      <c r="B26" s="29" t="s">
        <v>152</v>
      </c>
      <c r="C26" s="4">
        <v>442441</v>
      </c>
      <c r="D26" s="4">
        <v>367256</v>
      </c>
      <c r="E26" s="31">
        <v>367256</v>
      </c>
      <c r="F26" s="31">
        <v>367256</v>
      </c>
    </row>
    <row r="27" spans="1:6" ht="12.75">
      <c r="A27" s="28" t="s">
        <v>20</v>
      </c>
      <c r="B27" s="29" t="s">
        <v>118</v>
      </c>
      <c r="C27" s="4">
        <v>0</v>
      </c>
      <c r="D27" s="4">
        <v>0</v>
      </c>
      <c r="E27" s="4">
        <v>0</v>
      </c>
      <c r="F27" s="4">
        <v>0</v>
      </c>
    </row>
    <row r="28" spans="1:6" ht="12.75">
      <c r="A28" s="28" t="s">
        <v>21</v>
      </c>
      <c r="B28" s="29" t="s">
        <v>153</v>
      </c>
      <c r="C28" s="4">
        <v>438477</v>
      </c>
      <c r="D28" s="4">
        <v>362133</v>
      </c>
      <c r="E28" s="4">
        <v>457967</v>
      </c>
      <c r="F28" s="4">
        <v>432574</v>
      </c>
    </row>
    <row r="29" spans="1:6" ht="12.75">
      <c r="A29" s="28" t="s">
        <v>22</v>
      </c>
      <c r="B29" s="29" t="s">
        <v>154</v>
      </c>
      <c r="C29" s="4">
        <v>1243611</v>
      </c>
      <c r="D29" s="4">
        <v>701052</v>
      </c>
      <c r="E29" s="4">
        <v>725044</v>
      </c>
      <c r="F29" s="4">
        <v>694219</v>
      </c>
    </row>
    <row r="30" spans="1:6" ht="12.75">
      <c r="A30" s="28" t="s">
        <v>23</v>
      </c>
      <c r="B30" s="29" t="s">
        <v>155</v>
      </c>
      <c r="C30" s="4">
        <v>1380809</v>
      </c>
      <c r="D30" s="4">
        <v>787373</v>
      </c>
      <c r="E30" s="4">
        <v>761545</v>
      </c>
      <c r="F30" s="4">
        <v>728959</v>
      </c>
    </row>
    <row r="31" spans="1:6" ht="12.75">
      <c r="A31" s="28" t="s">
        <v>24</v>
      </c>
      <c r="B31" s="29" t="s">
        <v>119</v>
      </c>
      <c r="C31" s="4">
        <v>23976</v>
      </c>
      <c r="D31" s="4">
        <v>33630</v>
      </c>
      <c r="E31" s="4">
        <v>43125</v>
      </c>
      <c r="F31" s="4">
        <v>42391</v>
      </c>
    </row>
    <row r="32" spans="1:6" ht="12.75">
      <c r="A32" s="28" t="s">
        <v>25</v>
      </c>
      <c r="B32" s="29" t="s">
        <v>120</v>
      </c>
      <c r="C32" s="4">
        <v>42666</v>
      </c>
      <c r="D32" s="4">
        <v>13082</v>
      </c>
      <c r="E32" s="4">
        <v>9794</v>
      </c>
      <c r="F32" s="4">
        <v>9792</v>
      </c>
    </row>
    <row r="33" spans="1:6" ht="12.75">
      <c r="A33" s="28" t="s">
        <v>26</v>
      </c>
      <c r="B33" s="29" t="s">
        <v>121</v>
      </c>
      <c r="C33" s="4">
        <v>0</v>
      </c>
      <c r="D33" s="4">
        <v>0</v>
      </c>
      <c r="E33" s="4">
        <v>0</v>
      </c>
      <c r="F33" s="4">
        <v>0</v>
      </c>
    </row>
    <row r="34" spans="1:6" ht="12.75">
      <c r="A34" s="28" t="s">
        <v>27</v>
      </c>
      <c r="B34" s="29" t="s">
        <v>144</v>
      </c>
      <c r="C34" s="4">
        <v>1505</v>
      </c>
      <c r="D34" s="4">
        <v>3485</v>
      </c>
      <c r="E34" s="4">
        <v>3642</v>
      </c>
      <c r="F34" s="4">
        <v>3597</v>
      </c>
    </row>
    <row r="35" spans="1:6" ht="12.75">
      <c r="A35" s="28" t="s">
        <v>28</v>
      </c>
      <c r="B35" s="29" t="s">
        <v>122</v>
      </c>
      <c r="C35" s="4">
        <v>47983</v>
      </c>
      <c r="D35" s="4">
        <v>19711</v>
      </c>
      <c r="E35" s="4">
        <v>23725</v>
      </c>
      <c r="F35" s="4">
        <v>20015</v>
      </c>
    </row>
    <row r="36" spans="1:6" ht="12.75">
      <c r="A36" s="28" t="s">
        <v>29</v>
      </c>
      <c r="B36" s="29" t="s">
        <v>123</v>
      </c>
      <c r="C36" s="4">
        <v>0</v>
      </c>
      <c r="D36" s="4">
        <v>0</v>
      </c>
      <c r="E36" s="4">
        <v>0</v>
      </c>
      <c r="F36" s="4">
        <v>0</v>
      </c>
    </row>
    <row r="37" spans="1:6" ht="12.75">
      <c r="A37" s="28" t="s">
        <v>30</v>
      </c>
      <c r="B37" s="29" t="s">
        <v>124</v>
      </c>
      <c r="C37" s="4">
        <v>1087</v>
      </c>
      <c r="D37" s="4">
        <v>953</v>
      </c>
      <c r="E37" s="31">
        <v>953</v>
      </c>
      <c r="F37" s="31">
        <v>953</v>
      </c>
    </row>
    <row r="38" spans="1:6" ht="12.75">
      <c r="A38" s="28" t="s">
        <v>31</v>
      </c>
      <c r="B38" s="29" t="s">
        <v>125</v>
      </c>
      <c r="C38" s="4">
        <v>0</v>
      </c>
      <c r="D38" s="4">
        <v>0</v>
      </c>
      <c r="E38" s="4">
        <v>0</v>
      </c>
      <c r="F38" s="4">
        <v>0</v>
      </c>
    </row>
    <row r="39" spans="1:6" ht="12.75">
      <c r="A39" s="28" t="s">
        <v>32</v>
      </c>
      <c r="B39" s="29" t="s">
        <v>126</v>
      </c>
      <c r="C39" s="4">
        <v>76140</v>
      </c>
      <c r="D39" s="4">
        <v>27332</v>
      </c>
      <c r="E39" s="4">
        <v>20846</v>
      </c>
      <c r="F39" s="4">
        <v>19222</v>
      </c>
    </row>
    <row r="40" spans="1:6" ht="12.75">
      <c r="A40" s="28" t="s">
        <v>92</v>
      </c>
      <c r="B40" s="29" t="s">
        <v>156</v>
      </c>
      <c r="C40" s="4">
        <v>0</v>
      </c>
      <c r="D40" s="4">
        <v>0</v>
      </c>
      <c r="E40" s="4">
        <v>0</v>
      </c>
      <c r="F40" s="4">
        <v>0</v>
      </c>
    </row>
    <row r="41" spans="1:6" ht="12.75">
      <c r="A41" s="28" t="s">
        <v>33</v>
      </c>
      <c r="B41" s="29" t="s">
        <v>127</v>
      </c>
      <c r="C41" s="4">
        <v>106438</v>
      </c>
      <c r="D41" s="4">
        <v>23392</v>
      </c>
      <c r="E41" s="4">
        <v>15599</v>
      </c>
      <c r="F41" s="4">
        <v>15427</v>
      </c>
    </row>
    <row r="42" spans="1:6" ht="12.75">
      <c r="A42" s="28" t="s">
        <v>34</v>
      </c>
      <c r="B42" s="29" t="s">
        <v>128</v>
      </c>
      <c r="C42" s="4"/>
      <c r="D42" s="4"/>
      <c r="E42" s="4"/>
      <c r="F42" s="4"/>
    </row>
    <row r="43" spans="1:6" ht="12.75">
      <c r="A43" s="28" t="s">
        <v>35</v>
      </c>
      <c r="B43" s="29" t="s">
        <v>129</v>
      </c>
      <c r="C43" s="4">
        <v>0</v>
      </c>
      <c r="D43" s="4">
        <v>16666</v>
      </c>
      <c r="E43" s="4">
        <v>17410</v>
      </c>
      <c r="F43" s="4">
        <v>17825</v>
      </c>
    </row>
    <row r="44" spans="1:6" ht="12.75">
      <c r="A44" s="28" t="s">
        <v>36</v>
      </c>
      <c r="B44" s="29" t="s">
        <v>157</v>
      </c>
      <c r="C44" s="4">
        <v>805134</v>
      </c>
      <c r="D44" s="4">
        <v>338919</v>
      </c>
      <c r="E44" s="4">
        <v>267077</v>
      </c>
      <c r="F44" s="4">
        <v>261645</v>
      </c>
    </row>
    <row r="45" spans="1:6" ht="12.75">
      <c r="A45" s="28" t="s">
        <v>37</v>
      </c>
      <c r="B45" s="29" t="s">
        <v>130</v>
      </c>
      <c r="C45" s="4">
        <v>2877</v>
      </c>
      <c r="D45" s="4">
        <v>4170</v>
      </c>
      <c r="E45" s="4">
        <v>7537</v>
      </c>
      <c r="F45" s="4">
        <v>8070</v>
      </c>
    </row>
    <row r="46" spans="1:6" ht="12.75">
      <c r="A46" s="28" t="s">
        <v>38</v>
      </c>
      <c r="B46" s="29" t="s">
        <v>131</v>
      </c>
      <c r="C46" s="4">
        <v>416842</v>
      </c>
      <c r="D46" s="4">
        <v>180958</v>
      </c>
      <c r="E46" s="4">
        <v>131908</v>
      </c>
      <c r="F46" s="4">
        <v>131609</v>
      </c>
    </row>
    <row r="47" spans="1:6" ht="12.75">
      <c r="A47" s="28" t="s">
        <v>39</v>
      </c>
      <c r="B47" s="29" t="s">
        <v>132</v>
      </c>
      <c r="C47" s="4">
        <v>0</v>
      </c>
      <c r="D47" s="4">
        <v>0</v>
      </c>
      <c r="E47" s="4">
        <v>0</v>
      </c>
      <c r="F47" s="4">
        <v>0</v>
      </c>
    </row>
    <row r="48" spans="1:6" ht="12.75">
      <c r="A48" s="28" t="s">
        <v>40</v>
      </c>
      <c r="B48" s="29" t="s">
        <v>133</v>
      </c>
      <c r="C48" s="4">
        <v>20773</v>
      </c>
      <c r="D48" s="4">
        <v>72744</v>
      </c>
      <c r="E48" s="4">
        <v>26915</v>
      </c>
      <c r="F48" s="4">
        <v>24500</v>
      </c>
    </row>
    <row r="49" spans="1:6" ht="12.75">
      <c r="A49" s="28" t="s">
        <v>41</v>
      </c>
      <c r="B49" s="29" t="s">
        <v>134</v>
      </c>
      <c r="C49" s="4">
        <v>47014</v>
      </c>
      <c r="D49" s="4">
        <v>50560</v>
      </c>
      <c r="E49" s="4">
        <v>59173</v>
      </c>
      <c r="F49" s="4">
        <v>55706</v>
      </c>
    </row>
    <row r="50" spans="1:6" ht="12.75">
      <c r="A50" s="28" t="s">
        <v>42</v>
      </c>
      <c r="B50" s="29" t="s">
        <v>135</v>
      </c>
      <c r="C50" s="4">
        <v>2210</v>
      </c>
      <c r="D50" s="4">
        <v>3494</v>
      </c>
      <c r="E50" s="4">
        <v>2308</v>
      </c>
      <c r="F50" s="4">
        <v>2239</v>
      </c>
    </row>
    <row r="51" spans="1:6" ht="12.75">
      <c r="A51" s="28" t="s">
        <v>43</v>
      </c>
      <c r="B51" s="29" t="s">
        <v>136</v>
      </c>
      <c r="C51" s="4">
        <v>11071</v>
      </c>
      <c r="D51" s="4">
        <v>24520</v>
      </c>
      <c r="E51" s="4">
        <v>22334</v>
      </c>
      <c r="F51" s="4">
        <v>21000</v>
      </c>
    </row>
    <row r="52" spans="1:6" ht="12.75">
      <c r="A52" s="28" t="s">
        <v>44</v>
      </c>
      <c r="B52" s="29" t="s">
        <v>137</v>
      </c>
      <c r="C52" s="4"/>
      <c r="D52" s="4"/>
      <c r="E52" s="4"/>
      <c r="F52" s="4"/>
    </row>
    <row r="53" spans="1:6" ht="12.75">
      <c r="A53" s="28" t="s">
        <v>45</v>
      </c>
      <c r="B53" s="29" t="s">
        <v>158</v>
      </c>
      <c r="C53" s="4">
        <v>0</v>
      </c>
      <c r="D53" s="4">
        <v>141204</v>
      </c>
      <c r="E53" s="4">
        <v>86811</v>
      </c>
      <c r="F53" s="4">
        <v>91106</v>
      </c>
    </row>
    <row r="56" spans="1:2" ht="18">
      <c r="A56" s="33" t="s">
        <v>159</v>
      </c>
      <c r="B56" s="1"/>
    </row>
    <row r="57" ht="12.75">
      <c r="A57" s="32" t="s">
        <v>0</v>
      </c>
    </row>
    <row r="58" spans="1:4" ht="12.75">
      <c r="A58" s="32" t="s">
        <v>1</v>
      </c>
      <c r="C58" s="2" t="s">
        <v>160</v>
      </c>
      <c r="D58" s="2"/>
    </row>
    <row r="60" spans="1:3" ht="12.75">
      <c r="A60" s="32" t="s">
        <v>2</v>
      </c>
      <c r="C60" t="s">
        <v>3</v>
      </c>
    </row>
    <row r="61" spans="1:4" ht="12.75">
      <c r="A61" s="32" t="s">
        <v>4</v>
      </c>
      <c r="C61" s="15" t="s">
        <v>103</v>
      </c>
      <c r="D61" s="15"/>
    </row>
    <row r="62" spans="1:3" ht="12.75">
      <c r="A62" s="32" t="s">
        <v>5</v>
      </c>
      <c r="C62" t="s">
        <v>102</v>
      </c>
    </row>
    <row r="63" spans="1:3" ht="12.75">
      <c r="A63" s="32" t="s">
        <v>6</v>
      </c>
      <c r="C63" t="s">
        <v>97</v>
      </c>
    </row>
    <row r="66" spans="1:6" ht="12.75">
      <c r="A66" s="28" t="s">
        <v>7</v>
      </c>
      <c r="B66" s="6"/>
      <c r="C66" s="3">
        <v>1990</v>
      </c>
      <c r="D66" s="3">
        <v>2000</v>
      </c>
      <c r="E66" s="3">
        <v>2007</v>
      </c>
      <c r="F66" s="3">
        <v>2008</v>
      </c>
    </row>
    <row r="67" spans="1:6" ht="12.75">
      <c r="A67" s="28" t="s">
        <v>8</v>
      </c>
      <c r="B67" s="29" t="s">
        <v>112</v>
      </c>
      <c r="C67" s="4">
        <v>125748</v>
      </c>
      <c r="D67" s="4">
        <v>124092</v>
      </c>
      <c r="E67" s="4">
        <v>163300</v>
      </c>
      <c r="F67" s="4">
        <v>164767</v>
      </c>
    </row>
    <row r="68" spans="1:6" ht="12.75">
      <c r="A68" s="28" t="s">
        <v>9</v>
      </c>
      <c r="B68" s="29" t="s">
        <v>113</v>
      </c>
      <c r="C68" s="4">
        <v>245246</v>
      </c>
      <c r="D68" s="4">
        <v>297839</v>
      </c>
      <c r="E68" s="4">
        <v>302411</v>
      </c>
      <c r="F68" s="4">
        <v>280290</v>
      </c>
    </row>
    <row r="69" spans="1:6" ht="12.75">
      <c r="A69" s="28" t="s">
        <v>10</v>
      </c>
      <c r="B69" s="29" t="s">
        <v>114</v>
      </c>
      <c r="C69" s="4">
        <v>399564</v>
      </c>
      <c r="D69" s="4">
        <v>245259</v>
      </c>
      <c r="E69" s="4">
        <v>296227</v>
      </c>
      <c r="F69" s="4">
        <v>309468</v>
      </c>
    </row>
    <row r="70" spans="1:6" ht="12.75">
      <c r="A70" s="28" t="s">
        <v>11</v>
      </c>
      <c r="B70" s="29" t="s">
        <v>144</v>
      </c>
      <c r="C70" s="4">
        <v>24502</v>
      </c>
      <c r="D70" s="4">
        <v>48384</v>
      </c>
      <c r="E70" s="4">
        <v>73558</v>
      </c>
      <c r="F70" s="4">
        <v>64858</v>
      </c>
    </row>
    <row r="71" spans="1:6" ht="12.75">
      <c r="A71" s="28" t="s">
        <v>12</v>
      </c>
      <c r="B71" s="29" t="s">
        <v>115</v>
      </c>
      <c r="C71" s="4">
        <v>21600</v>
      </c>
      <c r="D71" s="4">
        <v>36080</v>
      </c>
      <c r="E71" s="4">
        <v>47642</v>
      </c>
      <c r="F71" s="4">
        <v>49740</v>
      </c>
    </row>
    <row r="72" spans="1:6" ht="12.75">
      <c r="A72" s="28" t="s">
        <v>13</v>
      </c>
      <c r="B72" s="29" t="s">
        <v>145</v>
      </c>
      <c r="C72" s="4">
        <v>566435</v>
      </c>
      <c r="D72" s="4">
        <v>572094</v>
      </c>
      <c r="E72" s="4">
        <v>614907</v>
      </c>
      <c r="F72" s="4">
        <v>553863</v>
      </c>
    </row>
    <row r="73" spans="1:6" ht="12.75">
      <c r="A73" s="28" t="s">
        <v>89</v>
      </c>
      <c r="B73" s="29" t="s">
        <v>146</v>
      </c>
      <c r="C73" s="4">
        <v>3060557</v>
      </c>
      <c r="D73" s="4">
        <v>3148610</v>
      </c>
      <c r="E73" s="4">
        <v>3688556</v>
      </c>
      <c r="F73" s="4">
        <v>3545627</v>
      </c>
    </row>
    <row r="74" spans="1:6" ht="12.75">
      <c r="A74" s="28" t="s">
        <v>14</v>
      </c>
      <c r="B74" s="29" t="s">
        <v>116</v>
      </c>
      <c r="C74" s="4">
        <v>245882</v>
      </c>
      <c r="D74" s="4">
        <v>296432</v>
      </c>
      <c r="E74" s="4">
        <v>290816</v>
      </c>
      <c r="F74" s="4">
        <v>264959</v>
      </c>
    </row>
    <row r="75" spans="1:6" ht="12.75">
      <c r="A75" s="28" t="s">
        <v>90</v>
      </c>
      <c r="B75" s="29" t="s">
        <v>147</v>
      </c>
      <c r="C75" s="4">
        <v>6841967</v>
      </c>
      <c r="D75" s="4">
        <v>8215896</v>
      </c>
      <c r="E75" s="4">
        <v>10028872</v>
      </c>
      <c r="F75" s="4">
        <v>9666726</v>
      </c>
    </row>
    <row r="76" spans="1:6" ht="12.75">
      <c r="A76" s="28" t="s">
        <v>15</v>
      </c>
      <c r="B76" s="30" t="s">
        <v>148</v>
      </c>
      <c r="C76" s="4">
        <v>7200625</v>
      </c>
      <c r="D76" s="4">
        <v>8694611</v>
      </c>
      <c r="E76" s="4">
        <v>9962947</v>
      </c>
      <c r="F76" s="4">
        <v>9526023</v>
      </c>
    </row>
    <row r="77" spans="1:6" ht="12.75">
      <c r="A77" s="28" t="s">
        <v>16</v>
      </c>
      <c r="B77" s="29" t="s">
        <v>149</v>
      </c>
      <c r="C77" s="4">
        <v>7255346</v>
      </c>
      <c r="D77" s="4">
        <v>8746960</v>
      </c>
      <c r="E77" s="4">
        <v>10028872</v>
      </c>
      <c r="F77" s="4">
        <v>9591232</v>
      </c>
    </row>
    <row r="78" spans="1:6" ht="12.75">
      <c r="A78" s="28" t="s">
        <v>17</v>
      </c>
      <c r="B78" s="29" t="s">
        <v>150</v>
      </c>
      <c r="C78" s="4">
        <v>7290411</v>
      </c>
      <c r="D78" s="4">
        <v>8807845</v>
      </c>
      <c r="E78" s="4">
        <v>10104294</v>
      </c>
      <c r="F78" s="4">
        <v>9666726</v>
      </c>
    </row>
    <row r="79" spans="1:6" ht="12.75">
      <c r="A79" s="28" t="s">
        <v>18</v>
      </c>
      <c r="B79" s="29" t="s">
        <v>151</v>
      </c>
      <c r="C79" s="4">
        <v>7405084</v>
      </c>
      <c r="D79" s="4">
        <v>8901807</v>
      </c>
      <c r="E79" s="4">
        <v>10175924</v>
      </c>
      <c r="F79" s="4">
        <v>9737304</v>
      </c>
    </row>
    <row r="80" spans="1:6" ht="12.75">
      <c r="A80" s="28" t="s">
        <v>19</v>
      </c>
      <c r="B80" s="29" t="s">
        <v>117</v>
      </c>
      <c r="C80" s="4">
        <v>233125</v>
      </c>
      <c r="D80" s="4">
        <v>100949</v>
      </c>
      <c r="E80" s="4">
        <v>120697</v>
      </c>
      <c r="F80" s="4">
        <v>110615</v>
      </c>
    </row>
    <row r="81" spans="1:6" ht="12.75">
      <c r="A81" s="28" t="s">
        <v>91</v>
      </c>
      <c r="B81" s="29" t="s">
        <v>152</v>
      </c>
      <c r="C81" s="4">
        <v>9723886</v>
      </c>
      <c r="D81" s="4">
        <v>11161602</v>
      </c>
      <c r="E81" s="31">
        <v>11161602</v>
      </c>
      <c r="F81" s="31">
        <v>11161602</v>
      </c>
    </row>
    <row r="82" spans="1:6" ht="12.75">
      <c r="A82" s="28" t="s">
        <v>20</v>
      </c>
      <c r="B82" s="29" t="s">
        <v>118</v>
      </c>
      <c r="C82" s="4">
        <v>666071</v>
      </c>
      <c r="D82" s="4">
        <v>980946</v>
      </c>
      <c r="E82" s="4">
        <v>1305624</v>
      </c>
      <c r="F82" s="4">
        <v>1212140</v>
      </c>
    </row>
    <row r="83" spans="1:6" ht="12.75">
      <c r="A83" s="28" t="s">
        <v>21</v>
      </c>
      <c r="B83" s="29" t="s">
        <v>153</v>
      </c>
      <c r="C83" s="4">
        <v>9703286</v>
      </c>
      <c r="D83" s="4">
        <v>11111879</v>
      </c>
      <c r="E83" s="4">
        <v>12609473</v>
      </c>
      <c r="F83" s="4">
        <v>12206419</v>
      </c>
    </row>
    <row r="84" spans="1:6" ht="12.75">
      <c r="A84" s="28" t="s">
        <v>22</v>
      </c>
      <c r="B84" s="29" t="s">
        <v>154</v>
      </c>
      <c r="C84" s="4">
        <v>12503858</v>
      </c>
      <c r="D84" s="4">
        <v>13732070</v>
      </c>
      <c r="E84" s="4">
        <v>15427621</v>
      </c>
      <c r="F84" s="4">
        <v>14934537</v>
      </c>
    </row>
    <row r="85" spans="1:6" ht="12.75">
      <c r="A85" s="28" t="s">
        <v>23</v>
      </c>
      <c r="B85" s="29" t="s">
        <v>155</v>
      </c>
      <c r="C85" s="4">
        <v>13821424</v>
      </c>
      <c r="D85" s="4">
        <v>14402076</v>
      </c>
      <c r="E85" s="4">
        <v>16159820</v>
      </c>
      <c r="F85" s="4">
        <v>15664044</v>
      </c>
    </row>
    <row r="86" spans="1:6" ht="12.75">
      <c r="A86" s="28" t="s">
        <v>24</v>
      </c>
      <c r="B86" s="29" t="s">
        <v>119</v>
      </c>
      <c r="C86" s="4">
        <v>172746</v>
      </c>
      <c r="D86" s="4">
        <v>221427</v>
      </c>
      <c r="E86" s="4">
        <v>339848</v>
      </c>
      <c r="F86" s="4">
        <v>290948</v>
      </c>
    </row>
    <row r="87" spans="1:6" ht="12.75">
      <c r="A87" s="28" t="s">
        <v>25</v>
      </c>
      <c r="B87" s="29" t="s">
        <v>120</v>
      </c>
      <c r="C87" s="4">
        <v>262158</v>
      </c>
      <c r="D87" s="4">
        <v>393277</v>
      </c>
      <c r="E87" s="4">
        <v>500540</v>
      </c>
      <c r="F87" s="4">
        <v>287821</v>
      </c>
    </row>
    <row r="88" spans="1:6" ht="12.75">
      <c r="A88" s="28" t="s">
        <v>26</v>
      </c>
      <c r="B88" s="29" t="s">
        <v>121</v>
      </c>
      <c r="C88" s="4">
        <v>358658</v>
      </c>
      <c r="D88" s="4">
        <v>478716</v>
      </c>
      <c r="E88" s="4">
        <v>538674</v>
      </c>
      <c r="F88" s="4">
        <v>531617</v>
      </c>
    </row>
    <row r="89" spans="1:6" ht="12.75">
      <c r="A89" s="28" t="s">
        <v>27</v>
      </c>
      <c r="B89" s="29" t="s">
        <v>144</v>
      </c>
      <c r="C89" s="4">
        <v>24502</v>
      </c>
      <c r="D89" s="4">
        <v>48384</v>
      </c>
      <c r="E89" s="4">
        <v>73558</v>
      </c>
      <c r="F89" s="4">
        <v>64858</v>
      </c>
    </row>
    <row r="90" spans="1:6" ht="12.75">
      <c r="A90" s="28" t="s">
        <v>28</v>
      </c>
      <c r="B90" s="29" t="s">
        <v>122</v>
      </c>
      <c r="C90" s="4">
        <v>198177</v>
      </c>
      <c r="D90" s="4">
        <v>251760</v>
      </c>
      <c r="E90" s="4">
        <v>255132</v>
      </c>
      <c r="F90" s="4">
        <v>253189</v>
      </c>
    </row>
    <row r="91" spans="1:6" ht="12.75">
      <c r="A91" s="28" t="s">
        <v>29</v>
      </c>
      <c r="B91" s="29" t="s">
        <v>123</v>
      </c>
      <c r="C91" s="4">
        <v>124395</v>
      </c>
      <c r="D91" s="4">
        <v>195368</v>
      </c>
      <c r="E91" s="4">
        <v>187021</v>
      </c>
      <c r="F91" s="4">
        <v>190791</v>
      </c>
    </row>
    <row r="92" spans="1:6" ht="12.75">
      <c r="A92" s="28" t="s">
        <v>30</v>
      </c>
      <c r="B92" s="29" t="s">
        <v>124</v>
      </c>
      <c r="C92" s="4">
        <v>17720</v>
      </c>
      <c r="D92" s="4">
        <v>46427</v>
      </c>
      <c r="E92" s="31">
        <v>46427</v>
      </c>
      <c r="F92" s="31">
        <v>46427</v>
      </c>
    </row>
    <row r="93" spans="1:6" ht="12.75">
      <c r="A93" s="28" t="s">
        <v>31</v>
      </c>
      <c r="B93" s="29" t="s">
        <v>125</v>
      </c>
      <c r="C93" s="4">
        <v>1523338</v>
      </c>
      <c r="D93" s="4">
        <v>1990041</v>
      </c>
      <c r="E93" s="4">
        <v>2024370</v>
      </c>
      <c r="F93" s="4">
        <v>2121980</v>
      </c>
    </row>
    <row r="94" spans="1:6" ht="12.75">
      <c r="A94" s="28" t="s">
        <v>32</v>
      </c>
      <c r="B94" s="29" t="s">
        <v>126</v>
      </c>
      <c r="C94" s="4">
        <v>106865</v>
      </c>
      <c r="D94" s="4">
        <v>37827</v>
      </c>
      <c r="E94" s="4">
        <v>41264</v>
      </c>
      <c r="F94" s="4">
        <v>39993</v>
      </c>
    </row>
    <row r="95" spans="1:6" ht="12.75">
      <c r="A95" s="28" t="s">
        <v>92</v>
      </c>
      <c r="B95" s="29" t="s">
        <v>156</v>
      </c>
      <c r="C95" s="4">
        <v>1036</v>
      </c>
      <c r="D95" s="4">
        <v>1151</v>
      </c>
      <c r="E95" s="4">
        <v>18370</v>
      </c>
      <c r="F95" s="4">
        <v>14901</v>
      </c>
    </row>
    <row r="96" spans="1:6" ht="12.75">
      <c r="A96" s="28" t="s">
        <v>33</v>
      </c>
      <c r="B96" s="29" t="s">
        <v>127</v>
      </c>
      <c r="C96" s="4">
        <v>31575</v>
      </c>
      <c r="D96" s="4">
        <v>20362</v>
      </c>
      <c r="E96" s="4">
        <v>26129</v>
      </c>
      <c r="F96" s="4">
        <v>25498</v>
      </c>
    </row>
    <row r="97" spans="1:6" ht="12.75">
      <c r="A97" s="28" t="s">
        <v>34</v>
      </c>
      <c r="B97" s="29" t="s">
        <v>128</v>
      </c>
      <c r="C97" s="4">
        <v>13465</v>
      </c>
      <c r="D97" s="4">
        <v>24805</v>
      </c>
      <c r="E97" s="4">
        <v>27780</v>
      </c>
      <c r="F97" s="4">
        <v>25755</v>
      </c>
    </row>
    <row r="98" spans="1:6" ht="12.75">
      <c r="A98" s="28" t="s">
        <v>35</v>
      </c>
      <c r="B98" s="29" t="s">
        <v>129</v>
      </c>
      <c r="C98" s="4">
        <v>492860</v>
      </c>
      <c r="D98" s="4">
        <v>627230</v>
      </c>
      <c r="E98" s="4">
        <v>674416</v>
      </c>
      <c r="F98" s="4">
        <v>667177</v>
      </c>
    </row>
    <row r="99" spans="1:6" ht="12.75">
      <c r="A99" s="28" t="s">
        <v>36</v>
      </c>
      <c r="B99" s="29" t="s">
        <v>157</v>
      </c>
      <c r="C99" s="4">
        <v>2800572</v>
      </c>
      <c r="D99" s="4">
        <v>2620192</v>
      </c>
      <c r="E99" s="4">
        <v>2818149</v>
      </c>
      <c r="F99" s="4">
        <v>2728118</v>
      </c>
    </row>
    <row r="100" spans="1:6" ht="12.75">
      <c r="A100" s="28" t="s">
        <v>37</v>
      </c>
      <c r="B100" s="29" t="s">
        <v>130</v>
      </c>
      <c r="C100" s="4">
        <v>2880</v>
      </c>
      <c r="D100" s="4">
        <v>3297</v>
      </c>
      <c r="E100" s="4">
        <v>7594</v>
      </c>
      <c r="F100" s="4">
        <v>5745</v>
      </c>
    </row>
    <row r="101" spans="1:6" ht="12.75">
      <c r="A101" s="28" t="s">
        <v>38</v>
      </c>
      <c r="B101" s="29" t="s">
        <v>131</v>
      </c>
      <c r="C101" s="4">
        <v>1459936</v>
      </c>
      <c r="D101" s="4">
        <v>1430003</v>
      </c>
      <c r="E101" s="4">
        <v>1547043</v>
      </c>
      <c r="F101" s="4">
        <v>1533679</v>
      </c>
    </row>
    <row r="102" spans="1:6" ht="12.75">
      <c r="A102" s="28" t="s">
        <v>39</v>
      </c>
      <c r="B102" s="29" t="s">
        <v>132</v>
      </c>
      <c r="C102" s="4">
        <v>167811</v>
      </c>
      <c r="D102" s="4">
        <v>235914</v>
      </c>
      <c r="E102" s="4">
        <v>219818</v>
      </c>
      <c r="F102" s="4">
        <v>217964</v>
      </c>
    </row>
    <row r="103" spans="1:6" ht="12.75">
      <c r="A103" s="28" t="s">
        <v>40</v>
      </c>
      <c r="B103" s="29" t="s">
        <v>133</v>
      </c>
      <c r="C103" s="4">
        <v>918001</v>
      </c>
      <c r="D103" s="4">
        <v>424746</v>
      </c>
      <c r="E103" s="4">
        <v>435971</v>
      </c>
      <c r="F103" s="4">
        <v>420039</v>
      </c>
    </row>
    <row r="104" spans="1:6" ht="12.75">
      <c r="A104" s="28" t="s">
        <v>41</v>
      </c>
      <c r="B104" s="29" t="s">
        <v>134</v>
      </c>
      <c r="C104" s="4">
        <v>50348</v>
      </c>
      <c r="D104" s="4">
        <v>95791</v>
      </c>
      <c r="E104" s="4">
        <v>138574</v>
      </c>
      <c r="F104" s="4">
        <v>148431</v>
      </c>
    </row>
    <row r="105" spans="1:6" ht="12.75">
      <c r="A105" s="28" t="s">
        <v>42</v>
      </c>
      <c r="B105" s="29" t="s">
        <v>135</v>
      </c>
      <c r="C105" s="4">
        <v>54722</v>
      </c>
      <c r="D105" s="4">
        <v>52349</v>
      </c>
      <c r="E105" s="4">
        <v>65925</v>
      </c>
      <c r="F105" s="4">
        <v>65209</v>
      </c>
    </row>
    <row r="106" spans="1:6" ht="12.75">
      <c r="A106" s="28" t="s">
        <v>43</v>
      </c>
      <c r="B106" s="29" t="s">
        <v>136</v>
      </c>
      <c r="C106" s="4">
        <v>114672</v>
      </c>
      <c r="D106" s="4">
        <v>93962</v>
      </c>
      <c r="E106" s="4">
        <v>71629</v>
      </c>
      <c r="F106" s="4">
        <v>70577</v>
      </c>
    </row>
    <row r="107" spans="1:6" ht="12.75">
      <c r="A107" s="28" t="s">
        <v>44</v>
      </c>
      <c r="B107" s="29" t="s">
        <v>137</v>
      </c>
      <c r="C107" s="4">
        <v>317754</v>
      </c>
      <c r="D107" s="4">
        <v>704460</v>
      </c>
      <c r="E107" s="4">
        <v>1152263</v>
      </c>
      <c r="F107" s="4">
        <v>1223001</v>
      </c>
    </row>
    <row r="108" spans="1:6" ht="12.75">
      <c r="A108" s="28" t="s">
        <v>45</v>
      </c>
      <c r="B108" s="29" t="s">
        <v>158</v>
      </c>
      <c r="C108" s="4">
        <v>2206432</v>
      </c>
      <c r="D108" s="4">
        <v>2025045</v>
      </c>
      <c r="E108" s="4">
        <v>2217135</v>
      </c>
      <c r="F108" s="4">
        <v>2267007</v>
      </c>
    </row>
    <row r="111" spans="1:2" ht="18">
      <c r="A111" s="33" t="s">
        <v>159</v>
      </c>
      <c r="B111" s="1"/>
    </row>
    <row r="112" ht="12.75">
      <c r="A112" s="32" t="s">
        <v>0</v>
      </c>
    </row>
    <row r="113" spans="1:4" ht="12.75">
      <c r="A113" s="32" t="s">
        <v>1</v>
      </c>
      <c r="C113" s="2" t="s">
        <v>161</v>
      </c>
      <c r="D113" s="2"/>
    </row>
    <row r="115" spans="1:3" ht="12.75">
      <c r="A115" s="32" t="s">
        <v>2</v>
      </c>
      <c r="C115" t="s">
        <v>3</v>
      </c>
    </row>
    <row r="116" spans="1:4" ht="12.75">
      <c r="A116" s="32" t="s">
        <v>4</v>
      </c>
      <c r="C116" s="15" t="s">
        <v>93</v>
      </c>
      <c r="D116" s="15"/>
    </row>
    <row r="117" spans="1:3" ht="12.75">
      <c r="A117" s="32" t="s">
        <v>5</v>
      </c>
      <c r="C117" t="s">
        <v>102</v>
      </c>
    </row>
    <row r="118" spans="1:3" ht="12.75">
      <c r="A118" s="32" t="s">
        <v>6</v>
      </c>
      <c r="C118" t="s">
        <v>97</v>
      </c>
    </row>
    <row r="121" spans="1:6" ht="12.75">
      <c r="A121" s="28" t="s">
        <v>7</v>
      </c>
      <c r="B121" s="6"/>
      <c r="C121" s="3">
        <v>1990</v>
      </c>
      <c r="D121" s="3">
        <v>2000</v>
      </c>
      <c r="E121" s="3">
        <v>2007</v>
      </c>
      <c r="F121" s="3">
        <v>2008</v>
      </c>
    </row>
    <row r="122" spans="1:6" ht="12.75">
      <c r="A122" s="28" t="s">
        <v>8</v>
      </c>
      <c r="B122" s="29" t="s">
        <v>112</v>
      </c>
      <c r="C122" s="4">
        <v>11219</v>
      </c>
      <c r="D122" s="4">
        <v>19240</v>
      </c>
      <c r="E122" s="4">
        <v>20072</v>
      </c>
      <c r="F122" s="4">
        <v>21789</v>
      </c>
    </row>
    <row r="123" spans="1:6" ht="12.75">
      <c r="A123" s="28" t="s">
        <v>9</v>
      </c>
      <c r="B123" s="29" t="s">
        <v>113</v>
      </c>
      <c r="C123" s="4">
        <v>368</v>
      </c>
      <c r="D123" s="4">
        <v>1527</v>
      </c>
      <c r="E123" s="4">
        <v>148</v>
      </c>
      <c r="F123" s="4">
        <v>119</v>
      </c>
    </row>
    <row r="124" spans="1:6" ht="12.75">
      <c r="A124" s="28" t="s">
        <v>10</v>
      </c>
      <c r="B124" s="29" t="s">
        <v>114</v>
      </c>
      <c r="C124" s="4">
        <v>102832</v>
      </c>
      <c r="D124" s="4">
        <v>12328</v>
      </c>
      <c r="E124" s="4">
        <v>9105</v>
      </c>
      <c r="F124" s="4">
        <v>9469</v>
      </c>
    </row>
    <row r="125" spans="1:6" ht="12.75">
      <c r="A125" s="28" t="s">
        <v>11</v>
      </c>
      <c r="B125" s="29" t="s">
        <v>144</v>
      </c>
      <c r="C125" s="4">
        <v>2644</v>
      </c>
      <c r="D125" s="4">
        <v>2708</v>
      </c>
      <c r="E125" s="4">
        <v>2988</v>
      </c>
      <c r="F125" s="4">
        <v>2964</v>
      </c>
    </row>
    <row r="126" spans="1:6" ht="12.75">
      <c r="A126" s="28" t="s">
        <v>12</v>
      </c>
      <c r="B126" s="29" t="s">
        <v>115</v>
      </c>
      <c r="C126" s="4"/>
      <c r="D126" s="4"/>
      <c r="E126" s="4"/>
      <c r="F126" s="4"/>
    </row>
    <row r="127" spans="1:6" ht="12.75">
      <c r="A127" s="28" t="s">
        <v>13</v>
      </c>
      <c r="B127" s="29" t="s">
        <v>145</v>
      </c>
      <c r="C127" s="4">
        <v>37259</v>
      </c>
      <c r="D127" s="4">
        <v>35475</v>
      </c>
      <c r="E127" s="4">
        <v>25587</v>
      </c>
      <c r="F127" s="4">
        <v>25707</v>
      </c>
    </row>
    <row r="128" spans="1:6" ht="12.75">
      <c r="A128" s="28" t="s">
        <v>89</v>
      </c>
      <c r="B128" s="29" t="s">
        <v>146</v>
      </c>
      <c r="C128" s="4">
        <v>0</v>
      </c>
      <c r="D128" s="4">
        <v>57523</v>
      </c>
      <c r="E128" s="4">
        <v>120791</v>
      </c>
      <c r="F128" s="4">
        <v>124366</v>
      </c>
    </row>
    <row r="129" spans="1:6" ht="12.75">
      <c r="A129" s="28" t="s">
        <v>14</v>
      </c>
      <c r="B129" s="29" t="s">
        <v>116</v>
      </c>
      <c r="C129" s="4">
        <v>38013</v>
      </c>
      <c r="D129" s="4">
        <v>22059</v>
      </c>
      <c r="E129" s="4">
        <v>24491</v>
      </c>
      <c r="F129" s="4">
        <v>25074</v>
      </c>
    </row>
    <row r="130" spans="1:6" ht="12.75">
      <c r="A130" s="28" t="s">
        <v>90</v>
      </c>
      <c r="B130" s="29" t="s">
        <v>147</v>
      </c>
      <c r="C130" s="4">
        <v>36859</v>
      </c>
      <c r="D130" s="4">
        <v>123439</v>
      </c>
      <c r="E130" s="4">
        <v>207289</v>
      </c>
      <c r="F130" s="4">
        <v>212237</v>
      </c>
    </row>
    <row r="131" spans="1:6" ht="12.75">
      <c r="A131" s="28" t="s">
        <v>15</v>
      </c>
      <c r="B131" s="30" t="s">
        <v>148</v>
      </c>
      <c r="C131" s="4">
        <v>36859</v>
      </c>
      <c r="D131" s="4">
        <v>123439</v>
      </c>
      <c r="E131" s="4">
        <v>205260</v>
      </c>
      <c r="F131" s="4">
        <v>210175</v>
      </c>
    </row>
    <row r="132" spans="1:6" ht="12.75">
      <c r="A132" s="28" t="s">
        <v>16</v>
      </c>
      <c r="B132" s="29" t="s">
        <v>149</v>
      </c>
      <c r="C132" s="4">
        <v>38859</v>
      </c>
      <c r="D132" s="4">
        <v>126392</v>
      </c>
      <c r="E132" s="4">
        <v>207289</v>
      </c>
      <c r="F132" s="4">
        <v>212237</v>
      </c>
    </row>
    <row r="133" spans="1:6" ht="12.75">
      <c r="A133" s="28" t="s">
        <v>17</v>
      </c>
      <c r="B133" s="29" t="s">
        <v>150</v>
      </c>
      <c r="C133" s="4">
        <v>38859</v>
      </c>
      <c r="D133" s="4">
        <v>126392</v>
      </c>
      <c r="E133" s="4">
        <v>207289</v>
      </c>
      <c r="F133" s="4">
        <v>212237</v>
      </c>
    </row>
    <row r="134" spans="1:6" ht="12.75">
      <c r="A134" s="28" t="s">
        <v>18</v>
      </c>
      <c r="B134" s="29" t="s">
        <v>151</v>
      </c>
      <c r="C134" s="4">
        <v>47122</v>
      </c>
      <c r="D134" s="4">
        <v>147222</v>
      </c>
      <c r="E134" s="4">
        <v>227089</v>
      </c>
      <c r="F134" s="4">
        <v>231001</v>
      </c>
    </row>
    <row r="135" spans="1:6" ht="12.75">
      <c r="A135" s="28" t="s">
        <v>19</v>
      </c>
      <c r="B135" s="29" t="s">
        <v>117</v>
      </c>
      <c r="C135" s="4">
        <v>51639</v>
      </c>
      <c r="D135" s="4">
        <v>15983</v>
      </c>
      <c r="E135" s="4">
        <v>18150</v>
      </c>
      <c r="F135" s="4">
        <v>17913</v>
      </c>
    </row>
    <row r="136" spans="1:6" ht="12.75">
      <c r="A136" s="28" t="s">
        <v>91</v>
      </c>
      <c r="B136" s="29" t="s">
        <v>152</v>
      </c>
      <c r="C136" s="4">
        <v>122204</v>
      </c>
      <c r="D136" s="4">
        <v>333155</v>
      </c>
      <c r="E136" s="31">
        <v>333155</v>
      </c>
      <c r="F136" s="31">
        <v>333155</v>
      </c>
    </row>
    <row r="137" spans="1:6" ht="12.75">
      <c r="A137" s="28" t="s">
        <v>20</v>
      </c>
      <c r="B137" s="29" t="s">
        <v>118</v>
      </c>
      <c r="C137" s="4"/>
      <c r="D137" s="4"/>
      <c r="E137" s="4"/>
      <c r="F137" s="4"/>
    </row>
    <row r="138" spans="1:6" ht="12.75">
      <c r="A138" s="28" t="s">
        <v>21</v>
      </c>
      <c r="B138" s="29" t="s">
        <v>153</v>
      </c>
      <c r="C138" s="4">
        <v>116227</v>
      </c>
      <c r="D138" s="4">
        <v>326076</v>
      </c>
      <c r="E138" s="4">
        <v>346358</v>
      </c>
      <c r="F138" s="4">
        <v>351660</v>
      </c>
    </row>
    <row r="139" spans="1:6" ht="12.75">
      <c r="A139" s="28" t="s">
        <v>22</v>
      </c>
      <c r="B139" s="29" t="s">
        <v>154</v>
      </c>
      <c r="C139" s="4">
        <v>704391</v>
      </c>
      <c r="D139" s="4">
        <v>608092</v>
      </c>
      <c r="E139" s="4">
        <v>576133</v>
      </c>
      <c r="F139" s="4">
        <v>576456</v>
      </c>
    </row>
    <row r="140" spans="1:6" ht="12.75">
      <c r="A140" s="28" t="s">
        <v>23</v>
      </c>
      <c r="B140" s="29" t="s">
        <v>155</v>
      </c>
      <c r="C140" s="4">
        <v>807223</v>
      </c>
      <c r="D140" s="4">
        <v>682874</v>
      </c>
      <c r="E140" s="4">
        <v>605498</v>
      </c>
      <c r="F140" s="4">
        <v>607975</v>
      </c>
    </row>
    <row r="141" spans="1:6" ht="12.75">
      <c r="A141" s="28" t="s">
        <v>24</v>
      </c>
      <c r="B141" s="29" t="s">
        <v>119</v>
      </c>
      <c r="C141" s="4">
        <v>25272</v>
      </c>
      <c r="D141" s="4">
        <v>30605</v>
      </c>
      <c r="E141" s="4">
        <v>49159</v>
      </c>
      <c r="F141" s="4">
        <v>48603</v>
      </c>
    </row>
    <row r="142" spans="1:6" ht="12.75">
      <c r="A142" s="28" t="s">
        <v>25</v>
      </c>
      <c r="B142" s="29" t="s">
        <v>120</v>
      </c>
      <c r="C142" s="4"/>
      <c r="D142" s="4"/>
      <c r="E142" s="4"/>
      <c r="F142" s="4"/>
    </row>
    <row r="143" spans="1:6" ht="12.75">
      <c r="A143" s="28" t="s">
        <v>26</v>
      </c>
      <c r="B143" s="29" t="s">
        <v>121</v>
      </c>
      <c r="C143" s="4"/>
      <c r="D143" s="4"/>
      <c r="E143" s="4"/>
      <c r="F143" s="4"/>
    </row>
    <row r="144" spans="1:6" ht="12.75">
      <c r="A144" s="28" t="s">
        <v>27</v>
      </c>
      <c r="B144" s="29" t="s">
        <v>144</v>
      </c>
      <c r="C144" s="4">
        <v>2644</v>
      </c>
      <c r="D144" s="4">
        <v>2708</v>
      </c>
      <c r="E144" s="4">
        <v>2988</v>
      </c>
      <c r="F144" s="4">
        <v>2964</v>
      </c>
    </row>
    <row r="145" spans="1:6" ht="12.75">
      <c r="A145" s="28" t="s">
        <v>28</v>
      </c>
      <c r="B145" s="29" t="s">
        <v>122</v>
      </c>
      <c r="C145" s="4">
        <v>34341</v>
      </c>
      <c r="D145" s="4">
        <v>17639</v>
      </c>
      <c r="E145" s="4">
        <v>18385</v>
      </c>
      <c r="F145" s="4">
        <v>16892</v>
      </c>
    </row>
    <row r="146" spans="1:6" ht="12.75">
      <c r="A146" s="28" t="s">
        <v>29</v>
      </c>
      <c r="B146" s="29" t="s">
        <v>123</v>
      </c>
      <c r="C146" s="4"/>
      <c r="D146" s="4"/>
      <c r="E146" s="4"/>
      <c r="F146" s="4"/>
    </row>
    <row r="147" spans="1:6" ht="12.75">
      <c r="A147" s="28" t="s">
        <v>30</v>
      </c>
      <c r="B147" s="29" t="s">
        <v>124</v>
      </c>
      <c r="C147" s="4">
        <v>1035</v>
      </c>
      <c r="D147" s="4">
        <v>1090</v>
      </c>
      <c r="E147" s="31">
        <v>1090</v>
      </c>
      <c r="F147" s="31">
        <v>1090</v>
      </c>
    </row>
    <row r="148" spans="1:6" ht="12.75">
      <c r="A148" s="28" t="s">
        <v>31</v>
      </c>
      <c r="B148" s="29" t="s">
        <v>125</v>
      </c>
      <c r="C148" s="4"/>
      <c r="D148" s="4"/>
      <c r="E148" s="4"/>
      <c r="F148" s="4"/>
    </row>
    <row r="149" spans="1:6" ht="12.75">
      <c r="A149" s="28" t="s">
        <v>32</v>
      </c>
      <c r="B149" s="29" t="s">
        <v>126</v>
      </c>
      <c r="C149" s="4">
        <v>62163</v>
      </c>
      <c r="D149" s="4">
        <v>25299</v>
      </c>
      <c r="E149" s="4">
        <v>21476</v>
      </c>
      <c r="F149" s="4">
        <v>19039</v>
      </c>
    </row>
    <row r="150" spans="1:6" ht="12.75">
      <c r="A150" s="28" t="s">
        <v>92</v>
      </c>
      <c r="B150" s="29" t="s">
        <v>156</v>
      </c>
      <c r="C150" s="4"/>
      <c r="D150" s="4"/>
      <c r="E150" s="4"/>
      <c r="F150" s="4"/>
    </row>
    <row r="151" spans="1:6" ht="12.75">
      <c r="A151" s="28" t="s">
        <v>33</v>
      </c>
      <c r="B151" s="29" t="s">
        <v>127</v>
      </c>
      <c r="C151" s="4">
        <v>77049</v>
      </c>
      <c r="D151" s="4">
        <v>19933</v>
      </c>
      <c r="E151" s="4">
        <v>12607</v>
      </c>
      <c r="F151" s="4">
        <v>12520</v>
      </c>
    </row>
    <row r="152" spans="1:6" ht="12.75">
      <c r="A152" s="28" t="s">
        <v>34</v>
      </c>
      <c r="B152" s="29" t="s">
        <v>128</v>
      </c>
      <c r="C152" s="4"/>
      <c r="D152" s="4"/>
      <c r="E152" s="4"/>
      <c r="F152" s="4"/>
    </row>
    <row r="153" spans="1:6" ht="12.75">
      <c r="A153" s="28" t="s">
        <v>35</v>
      </c>
      <c r="B153" s="29" t="s">
        <v>129</v>
      </c>
      <c r="C153" s="4">
        <v>0</v>
      </c>
      <c r="D153" s="4">
        <v>14544</v>
      </c>
      <c r="E153" s="4">
        <v>15090</v>
      </c>
      <c r="F153" s="4">
        <v>15298</v>
      </c>
    </row>
    <row r="154" spans="1:6" ht="12.75">
      <c r="A154" s="28" t="s">
        <v>36</v>
      </c>
      <c r="B154" s="29" t="s">
        <v>157</v>
      </c>
      <c r="C154" s="4">
        <v>588164</v>
      </c>
      <c r="D154" s="4">
        <v>282016</v>
      </c>
      <c r="E154" s="4">
        <v>229775</v>
      </c>
      <c r="F154" s="4">
        <v>224796</v>
      </c>
    </row>
    <row r="155" spans="1:6" ht="12.75">
      <c r="A155" s="28" t="s">
        <v>37</v>
      </c>
      <c r="B155" s="29" t="s">
        <v>130</v>
      </c>
      <c r="C155" s="4">
        <v>4942</v>
      </c>
      <c r="D155" s="4">
        <v>5989</v>
      </c>
      <c r="E155" s="4">
        <v>9611</v>
      </c>
      <c r="F155" s="4">
        <v>11563</v>
      </c>
    </row>
    <row r="156" spans="1:6" ht="12.75">
      <c r="A156" s="28" t="s">
        <v>38</v>
      </c>
      <c r="B156" s="29" t="s">
        <v>131</v>
      </c>
      <c r="C156" s="4">
        <v>315450</v>
      </c>
      <c r="D156" s="4">
        <v>143904</v>
      </c>
      <c r="E156" s="4">
        <v>111741</v>
      </c>
      <c r="F156" s="4">
        <v>111899</v>
      </c>
    </row>
    <row r="157" spans="1:6" ht="12.75">
      <c r="A157" s="28" t="s">
        <v>39</v>
      </c>
      <c r="B157" s="29" t="s">
        <v>132</v>
      </c>
      <c r="C157" s="4"/>
      <c r="D157" s="4"/>
      <c r="E157" s="4"/>
      <c r="F157" s="4"/>
    </row>
    <row r="158" spans="1:6" ht="12.75">
      <c r="A158" s="28" t="s">
        <v>40</v>
      </c>
      <c r="B158" s="29" t="s">
        <v>133</v>
      </c>
      <c r="C158" s="4">
        <v>0</v>
      </c>
      <c r="D158" s="4">
        <v>62454</v>
      </c>
      <c r="E158" s="4">
        <v>20260</v>
      </c>
      <c r="F158" s="4">
        <v>22050</v>
      </c>
    </row>
    <row r="159" spans="1:6" ht="12.75">
      <c r="A159" s="28" t="s">
        <v>41</v>
      </c>
      <c r="B159" s="29" t="s">
        <v>134</v>
      </c>
      <c r="C159" s="4">
        <v>41355</v>
      </c>
      <c r="D159" s="4">
        <v>78468</v>
      </c>
      <c r="E159" s="4">
        <v>66543</v>
      </c>
      <c r="F159" s="4">
        <v>62777</v>
      </c>
    </row>
    <row r="160" spans="1:6" ht="12.75">
      <c r="A160" s="28" t="s">
        <v>42</v>
      </c>
      <c r="B160" s="29" t="s">
        <v>135</v>
      </c>
      <c r="C160" s="4">
        <v>2000</v>
      </c>
      <c r="D160" s="4">
        <v>2953</v>
      </c>
      <c r="E160" s="4">
        <v>2029</v>
      </c>
      <c r="F160" s="4">
        <v>2062</v>
      </c>
    </row>
    <row r="161" spans="1:6" ht="12.75">
      <c r="A161" s="28" t="s">
        <v>43</v>
      </c>
      <c r="B161" s="29" t="s">
        <v>136</v>
      </c>
      <c r="C161" s="4">
        <v>8263</v>
      </c>
      <c r="D161" s="4">
        <v>20830</v>
      </c>
      <c r="E161" s="4">
        <v>19800</v>
      </c>
      <c r="F161" s="4">
        <v>18764</v>
      </c>
    </row>
    <row r="162" spans="1:6" ht="12.75">
      <c r="A162" s="28" t="s">
        <v>44</v>
      </c>
      <c r="B162" s="29" t="s">
        <v>137</v>
      </c>
      <c r="C162" s="4"/>
      <c r="D162" s="4"/>
      <c r="E162" s="4"/>
      <c r="F162" s="4"/>
    </row>
    <row r="163" spans="1:6" ht="12.75">
      <c r="A163" s="28" t="s">
        <v>45</v>
      </c>
      <c r="B163" s="29" t="s">
        <v>158</v>
      </c>
      <c r="C163" s="4">
        <v>0</v>
      </c>
      <c r="D163" s="4">
        <v>102110</v>
      </c>
      <c r="E163" s="4">
        <v>50064</v>
      </c>
      <c r="F163" s="4">
        <v>53634</v>
      </c>
    </row>
    <row r="166" spans="1:2" ht="18">
      <c r="A166" s="33" t="s">
        <v>159</v>
      </c>
      <c r="B166" s="1"/>
    </row>
    <row r="167" ht="12.75">
      <c r="A167" s="32" t="s">
        <v>0</v>
      </c>
    </row>
    <row r="168" spans="1:4" ht="12.75">
      <c r="A168" s="32" t="s">
        <v>1</v>
      </c>
      <c r="C168" s="2" t="s">
        <v>162</v>
      </c>
      <c r="D168" s="2"/>
    </row>
    <row r="170" spans="1:3" ht="12.75">
      <c r="A170" s="32" t="s">
        <v>2</v>
      </c>
      <c r="C170" t="s">
        <v>3</v>
      </c>
    </row>
    <row r="171" spans="1:4" ht="12.75">
      <c r="A171" s="32" t="s">
        <v>4</v>
      </c>
      <c r="C171" s="15" t="s">
        <v>94</v>
      </c>
      <c r="D171" s="15"/>
    </row>
    <row r="172" spans="1:3" ht="12.75">
      <c r="A172" s="32" t="s">
        <v>5</v>
      </c>
      <c r="C172" t="s">
        <v>102</v>
      </c>
    </row>
    <row r="173" spans="1:3" ht="12.75">
      <c r="A173" s="32" t="s">
        <v>6</v>
      </c>
      <c r="C173" t="s">
        <v>97</v>
      </c>
    </row>
    <row r="176" spans="1:6" ht="12.75">
      <c r="A176" s="28" t="s">
        <v>7</v>
      </c>
      <c r="B176" s="6"/>
      <c r="C176" s="3">
        <v>1990</v>
      </c>
      <c r="D176" s="3">
        <v>2000</v>
      </c>
      <c r="E176" s="3">
        <v>2007</v>
      </c>
      <c r="F176" s="3">
        <v>2008</v>
      </c>
    </row>
    <row r="177" spans="1:6" ht="12.75">
      <c r="A177" s="28" t="s">
        <v>8</v>
      </c>
      <c r="B177" s="29" t="s">
        <v>112</v>
      </c>
      <c r="C177" s="4">
        <v>61098</v>
      </c>
      <c r="D177" s="4">
        <v>65666</v>
      </c>
      <c r="E177" s="4">
        <v>94869</v>
      </c>
      <c r="F177" s="4">
        <v>98949</v>
      </c>
    </row>
    <row r="178" spans="1:6" ht="12.75">
      <c r="A178" s="28" t="s">
        <v>9</v>
      </c>
      <c r="B178" s="29" t="s">
        <v>113</v>
      </c>
      <c r="C178" s="4">
        <v>97819</v>
      </c>
      <c r="D178" s="4">
        <v>137831</v>
      </c>
      <c r="E178" s="4">
        <v>157111</v>
      </c>
      <c r="F178" s="4">
        <v>151236</v>
      </c>
    </row>
    <row r="179" spans="1:6" ht="12.75">
      <c r="A179" s="28" t="s">
        <v>10</v>
      </c>
      <c r="B179" s="29" t="s">
        <v>114</v>
      </c>
      <c r="C179" s="4">
        <v>143888</v>
      </c>
      <c r="D179" s="4">
        <v>101597</v>
      </c>
      <c r="E179" s="4">
        <v>126762</v>
      </c>
      <c r="F179" s="4">
        <v>140053</v>
      </c>
    </row>
    <row r="180" spans="1:6" ht="12.75">
      <c r="A180" s="28" t="s">
        <v>11</v>
      </c>
      <c r="B180" s="29" t="s">
        <v>144</v>
      </c>
      <c r="C180" s="4">
        <v>27279</v>
      </c>
      <c r="D180" s="4">
        <v>24083</v>
      </c>
      <c r="E180" s="4">
        <v>34945</v>
      </c>
      <c r="F180" s="4">
        <v>32386</v>
      </c>
    </row>
    <row r="181" spans="1:6" ht="12.75">
      <c r="A181" s="28" t="s">
        <v>12</v>
      </c>
      <c r="B181" s="29" t="s">
        <v>115</v>
      </c>
      <c r="C181" s="4">
        <v>7106</v>
      </c>
      <c r="D181" s="4">
        <v>12132</v>
      </c>
      <c r="E181" s="4">
        <v>17230</v>
      </c>
      <c r="F181" s="4">
        <v>18014</v>
      </c>
    </row>
    <row r="182" spans="1:6" ht="12.75">
      <c r="A182" s="28" t="s">
        <v>13</v>
      </c>
      <c r="B182" s="29" t="s">
        <v>145</v>
      </c>
      <c r="C182" s="4">
        <v>236956</v>
      </c>
      <c r="D182" s="4">
        <v>259073</v>
      </c>
      <c r="E182" s="4">
        <v>264827</v>
      </c>
      <c r="F182" s="4">
        <v>247448</v>
      </c>
    </row>
    <row r="183" spans="1:6" ht="12.75">
      <c r="A183" s="28" t="s">
        <v>89</v>
      </c>
      <c r="B183" s="29" t="s">
        <v>146</v>
      </c>
      <c r="C183" s="4">
        <v>1409576</v>
      </c>
      <c r="D183" s="4">
        <v>1393284</v>
      </c>
      <c r="E183" s="4">
        <v>1700013</v>
      </c>
      <c r="F183" s="4">
        <v>1695376</v>
      </c>
    </row>
    <row r="184" spans="1:6" ht="12.75">
      <c r="A184" s="28" t="s">
        <v>14</v>
      </c>
      <c r="B184" s="29" t="s">
        <v>116</v>
      </c>
      <c r="C184" s="4">
        <v>142778</v>
      </c>
      <c r="D184" s="4">
        <v>192961</v>
      </c>
      <c r="E184" s="4">
        <v>188053</v>
      </c>
      <c r="F184" s="4">
        <v>179950</v>
      </c>
    </row>
    <row r="185" spans="1:6" ht="12.75">
      <c r="A185" s="28" t="s">
        <v>90</v>
      </c>
      <c r="B185" s="29" t="s">
        <v>147</v>
      </c>
      <c r="C185" s="4">
        <v>2939477</v>
      </c>
      <c r="D185" s="4">
        <v>3493110</v>
      </c>
      <c r="E185" s="4">
        <v>4718319</v>
      </c>
      <c r="F185" s="4">
        <v>4686773</v>
      </c>
    </row>
    <row r="186" spans="1:6" ht="12.75">
      <c r="A186" s="28" t="s">
        <v>15</v>
      </c>
      <c r="B186" s="30" t="s">
        <v>148</v>
      </c>
      <c r="C186" s="4">
        <v>3055142</v>
      </c>
      <c r="D186" s="4">
        <v>3668045</v>
      </c>
      <c r="E186" s="4">
        <v>4690830</v>
      </c>
      <c r="F186" s="4">
        <v>4632451</v>
      </c>
    </row>
    <row r="187" spans="1:6" ht="12.75">
      <c r="A187" s="28" t="s">
        <v>16</v>
      </c>
      <c r="B187" s="29" t="s">
        <v>149</v>
      </c>
      <c r="C187" s="4">
        <v>3074596</v>
      </c>
      <c r="D187" s="4">
        <v>3690035</v>
      </c>
      <c r="E187" s="4">
        <v>4718319</v>
      </c>
      <c r="F187" s="4">
        <v>4660565</v>
      </c>
    </row>
    <row r="188" spans="1:6" ht="12.75">
      <c r="A188" s="28" t="s">
        <v>17</v>
      </c>
      <c r="B188" s="29" t="s">
        <v>150</v>
      </c>
      <c r="C188" s="4">
        <v>3085662</v>
      </c>
      <c r="D188" s="4">
        <v>3709068</v>
      </c>
      <c r="E188" s="4">
        <v>4743815</v>
      </c>
      <c r="F188" s="4">
        <v>4686773</v>
      </c>
    </row>
    <row r="189" spans="1:6" ht="12.75">
      <c r="A189" s="28" t="s">
        <v>18</v>
      </c>
      <c r="B189" s="29" t="s">
        <v>151</v>
      </c>
      <c r="C189" s="4">
        <v>3141861</v>
      </c>
      <c r="D189" s="4">
        <v>3742245</v>
      </c>
      <c r="E189" s="4">
        <v>4781625</v>
      </c>
      <c r="F189" s="4">
        <v>4722563</v>
      </c>
    </row>
    <row r="190" spans="1:6" ht="12.75">
      <c r="A190" s="28" t="s">
        <v>19</v>
      </c>
      <c r="B190" s="29" t="s">
        <v>117</v>
      </c>
      <c r="C190" s="4">
        <v>100318</v>
      </c>
      <c r="D190" s="4">
        <v>40470</v>
      </c>
      <c r="E190" s="4">
        <v>50696</v>
      </c>
      <c r="F190" s="4">
        <v>44171</v>
      </c>
    </row>
    <row r="191" spans="1:6" ht="12.75">
      <c r="A191" s="28" t="s">
        <v>91</v>
      </c>
      <c r="B191" s="29" t="s">
        <v>152</v>
      </c>
      <c r="C191" s="4">
        <v>4078152</v>
      </c>
      <c r="D191" s="4">
        <v>4833219</v>
      </c>
      <c r="E191" s="31">
        <v>4833219</v>
      </c>
      <c r="F191" s="31">
        <v>4833219</v>
      </c>
    </row>
    <row r="192" spans="1:6" ht="12.75">
      <c r="A192" s="28" t="s">
        <v>20</v>
      </c>
      <c r="B192" s="29" t="s">
        <v>118</v>
      </c>
      <c r="C192" s="4">
        <v>245884</v>
      </c>
      <c r="D192" s="4">
        <v>353930</v>
      </c>
      <c r="E192" s="4">
        <v>567504</v>
      </c>
      <c r="F192" s="4">
        <v>564887</v>
      </c>
    </row>
    <row r="193" spans="1:6" ht="12.75">
      <c r="A193" s="28" t="s">
        <v>21</v>
      </c>
      <c r="B193" s="29" t="s">
        <v>153</v>
      </c>
      <c r="C193" s="4">
        <v>4074766</v>
      </c>
      <c r="D193" s="4">
        <v>4825661</v>
      </c>
      <c r="E193" s="4">
        <v>6004323</v>
      </c>
      <c r="F193" s="4">
        <v>5947833</v>
      </c>
    </row>
    <row r="194" spans="1:6" ht="12.75">
      <c r="A194" s="28" t="s">
        <v>22</v>
      </c>
      <c r="B194" s="29" t="s">
        <v>154</v>
      </c>
      <c r="C194" s="4">
        <v>5306643</v>
      </c>
      <c r="D194" s="4">
        <v>6011337</v>
      </c>
      <c r="E194" s="4">
        <v>7300944</v>
      </c>
      <c r="F194" s="4">
        <v>7218268</v>
      </c>
    </row>
    <row r="195" spans="1:6" ht="12.75">
      <c r="A195" s="28" t="s">
        <v>23</v>
      </c>
      <c r="B195" s="29" t="s">
        <v>155</v>
      </c>
      <c r="C195" s="4">
        <v>5611825</v>
      </c>
      <c r="D195" s="4">
        <v>6344844</v>
      </c>
      <c r="E195" s="4">
        <v>7639864</v>
      </c>
      <c r="F195" s="4">
        <v>7554537</v>
      </c>
    </row>
    <row r="196" spans="1:6" ht="12.75">
      <c r="A196" s="28" t="s">
        <v>24</v>
      </c>
      <c r="B196" s="29" t="s">
        <v>119</v>
      </c>
      <c r="C196" s="4">
        <v>117778</v>
      </c>
      <c r="D196" s="4">
        <v>166316</v>
      </c>
      <c r="E196" s="4">
        <v>237904</v>
      </c>
      <c r="F196" s="4">
        <v>216218</v>
      </c>
    </row>
    <row r="197" spans="1:6" ht="12.75">
      <c r="A197" s="28" t="s">
        <v>25</v>
      </c>
      <c r="B197" s="29" t="s">
        <v>120</v>
      </c>
      <c r="C197" s="4">
        <v>100721</v>
      </c>
      <c r="D197" s="4">
        <v>137653</v>
      </c>
      <c r="E197" s="4">
        <v>143629</v>
      </c>
      <c r="F197" s="4">
        <v>153803</v>
      </c>
    </row>
    <row r="198" spans="1:6" ht="12.75">
      <c r="A198" s="28" t="s">
        <v>26</v>
      </c>
      <c r="B198" s="29" t="s">
        <v>121</v>
      </c>
      <c r="C198" s="4">
        <v>115664</v>
      </c>
      <c r="D198" s="4">
        <v>174935</v>
      </c>
      <c r="E198" s="4">
        <v>208395</v>
      </c>
      <c r="F198" s="4">
        <v>203588</v>
      </c>
    </row>
    <row r="199" spans="1:6" ht="12.75">
      <c r="A199" s="28" t="s">
        <v>27</v>
      </c>
      <c r="B199" s="29" t="s">
        <v>144</v>
      </c>
      <c r="C199" s="4">
        <v>27279</v>
      </c>
      <c r="D199" s="4">
        <v>24083</v>
      </c>
      <c r="E199" s="4">
        <v>34945</v>
      </c>
      <c r="F199" s="4">
        <v>32386</v>
      </c>
    </row>
    <row r="200" spans="1:6" ht="12.75">
      <c r="A200" s="28" t="s">
        <v>28</v>
      </c>
      <c r="B200" s="29" t="s">
        <v>122</v>
      </c>
      <c r="C200" s="4">
        <v>84966</v>
      </c>
      <c r="D200" s="4">
        <v>122362</v>
      </c>
      <c r="E200" s="4">
        <v>126579</v>
      </c>
      <c r="F200" s="4">
        <v>126382</v>
      </c>
    </row>
    <row r="201" spans="1:6" ht="12.75">
      <c r="A201" s="28" t="s">
        <v>29</v>
      </c>
      <c r="B201" s="29" t="s">
        <v>123</v>
      </c>
      <c r="C201" s="4">
        <v>47974</v>
      </c>
      <c r="D201" s="4">
        <v>79308</v>
      </c>
      <c r="E201" s="4">
        <v>84337</v>
      </c>
      <c r="F201" s="4">
        <v>86738</v>
      </c>
    </row>
    <row r="202" spans="1:6" ht="12.75">
      <c r="A202" s="28" t="s">
        <v>30</v>
      </c>
      <c r="B202" s="29" t="s">
        <v>124</v>
      </c>
      <c r="C202" s="4">
        <v>1098</v>
      </c>
      <c r="D202" s="4">
        <v>4777</v>
      </c>
      <c r="E202" s="31">
        <v>4777</v>
      </c>
      <c r="F202" s="31">
        <v>4777</v>
      </c>
    </row>
    <row r="203" spans="1:6" ht="12.75">
      <c r="A203" s="28" t="s">
        <v>31</v>
      </c>
      <c r="B203" s="29" t="s">
        <v>125</v>
      </c>
      <c r="C203" s="4">
        <v>579553</v>
      </c>
      <c r="D203" s="4">
        <v>676548</v>
      </c>
      <c r="E203" s="4">
        <v>993847</v>
      </c>
      <c r="F203" s="4">
        <v>977082</v>
      </c>
    </row>
    <row r="204" spans="1:6" ht="12.75">
      <c r="A204" s="28" t="s">
        <v>32</v>
      </c>
      <c r="B204" s="29" t="s">
        <v>126</v>
      </c>
      <c r="C204" s="4">
        <v>72921</v>
      </c>
      <c r="D204" s="4">
        <v>25884</v>
      </c>
      <c r="E204" s="4">
        <v>29085</v>
      </c>
      <c r="F204" s="4">
        <v>28868</v>
      </c>
    </row>
    <row r="205" spans="1:6" ht="12.75">
      <c r="A205" s="28" t="s">
        <v>92</v>
      </c>
      <c r="B205" s="29" t="s">
        <v>156</v>
      </c>
      <c r="C205" s="4">
        <v>122</v>
      </c>
      <c r="D205" s="4">
        <v>187</v>
      </c>
      <c r="E205" s="4">
        <v>9356</v>
      </c>
      <c r="F205" s="4">
        <v>7520</v>
      </c>
    </row>
    <row r="206" spans="1:6" ht="12.75">
      <c r="A206" s="28" t="s">
        <v>33</v>
      </c>
      <c r="B206" s="29" t="s">
        <v>127</v>
      </c>
      <c r="C206" s="4">
        <v>25635</v>
      </c>
      <c r="D206" s="4">
        <v>15854</v>
      </c>
      <c r="E206" s="4">
        <v>22540</v>
      </c>
      <c r="F206" s="4">
        <v>21042</v>
      </c>
    </row>
    <row r="207" spans="1:6" ht="12.75">
      <c r="A207" s="28" t="s">
        <v>34</v>
      </c>
      <c r="B207" s="29" t="s">
        <v>128</v>
      </c>
      <c r="C207" s="4">
        <v>3960</v>
      </c>
      <c r="D207" s="4">
        <v>6901</v>
      </c>
      <c r="E207" s="4">
        <v>8266</v>
      </c>
      <c r="F207" s="4">
        <v>8194</v>
      </c>
    </row>
    <row r="208" spans="1:6" ht="12.75">
      <c r="A208" s="28" t="s">
        <v>35</v>
      </c>
      <c r="B208" s="29" t="s">
        <v>129</v>
      </c>
      <c r="C208" s="4">
        <v>213725</v>
      </c>
      <c r="D208" s="4">
        <v>382671</v>
      </c>
      <c r="E208" s="4">
        <v>397343</v>
      </c>
      <c r="F208" s="4">
        <v>378706</v>
      </c>
    </row>
    <row r="209" spans="1:6" ht="12.75">
      <c r="A209" s="28" t="s">
        <v>36</v>
      </c>
      <c r="B209" s="29" t="s">
        <v>157</v>
      </c>
      <c r="C209" s="4">
        <v>1231878</v>
      </c>
      <c r="D209" s="4">
        <v>1185676</v>
      </c>
      <c r="E209" s="4">
        <v>1296621</v>
      </c>
      <c r="F209" s="4">
        <v>1270436</v>
      </c>
    </row>
    <row r="210" spans="1:6" ht="12.75">
      <c r="A210" s="28" t="s">
        <v>37</v>
      </c>
      <c r="B210" s="29" t="s">
        <v>130</v>
      </c>
      <c r="C210" s="4">
        <v>2289</v>
      </c>
      <c r="D210" s="4">
        <v>2780</v>
      </c>
      <c r="E210" s="4">
        <v>7348</v>
      </c>
      <c r="F210" s="4">
        <v>4897</v>
      </c>
    </row>
    <row r="211" spans="1:6" ht="12.75">
      <c r="A211" s="28" t="s">
        <v>38</v>
      </c>
      <c r="B211" s="29" t="s">
        <v>131</v>
      </c>
      <c r="C211" s="4">
        <v>624362</v>
      </c>
      <c r="D211" s="4">
        <v>647832</v>
      </c>
      <c r="E211" s="4">
        <v>712100</v>
      </c>
      <c r="F211" s="4">
        <v>712412</v>
      </c>
    </row>
    <row r="212" spans="1:6" ht="12.75">
      <c r="A212" s="28" t="s">
        <v>39</v>
      </c>
      <c r="B212" s="29" t="s">
        <v>132</v>
      </c>
      <c r="C212" s="4">
        <v>65228</v>
      </c>
      <c r="D212" s="4">
        <v>99715</v>
      </c>
      <c r="E212" s="4">
        <v>96522</v>
      </c>
      <c r="F212" s="4">
        <v>98346</v>
      </c>
    </row>
    <row r="213" spans="1:6" ht="12.75">
      <c r="A213" s="28" t="s">
        <v>40</v>
      </c>
      <c r="B213" s="29" t="s">
        <v>133</v>
      </c>
      <c r="C213" s="4">
        <v>161294</v>
      </c>
      <c r="D213" s="4">
        <v>231909</v>
      </c>
      <c r="E213" s="4">
        <v>212158</v>
      </c>
      <c r="F213" s="4">
        <v>196216</v>
      </c>
    </row>
    <row r="214" spans="1:6" ht="12.75">
      <c r="A214" s="28" t="s">
        <v>41</v>
      </c>
      <c r="B214" s="29" t="s">
        <v>134</v>
      </c>
      <c r="C214" s="4">
        <v>45937</v>
      </c>
      <c r="D214" s="4">
        <v>80542</v>
      </c>
      <c r="E214" s="4">
        <v>121421</v>
      </c>
      <c r="F214" s="4">
        <v>127374</v>
      </c>
    </row>
    <row r="215" spans="1:6" ht="12.75">
      <c r="A215" s="28" t="s">
        <v>42</v>
      </c>
      <c r="B215" s="29" t="s">
        <v>135</v>
      </c>
      <c r="C215" s="4">
        <v>19454</v>
      </c>
      <c r="D215" s="4">
        <v>21989</v>
      </c>
      <c r="E215" s="4">
        <v>27489</v>
      </c>
      <c r="F215" s="4">
        <v>28114</v>
      </c>
    </row>
    <row r="216" spans="1:6" ht="12.75">
      <c r="A216" s="28" t="s">
        <v>43</v>
      </c>
      <c r="B216" s="29" t="s">
        <v>136</v>
      </c>
      <c r="C216" s="4">
        <v>56199</v>
      </c>
      <c r="D216" s="4">
        <v>33178</v>
      </c>
      <c r="E216" s="4">
        <v>37811</v>
      </c>
      <c r="F216" s="4">
        <v>35789</v>
      </c>
    </row>
    <row r="217" spans="1:6" ht="12.75">
      <c r="A217" s="28" t="s">
        <v>44</v>
      </c>
      <c r="B217" s="29" t="s">
        <v>137</v>
      </c>
      <c r="C217" s="4">
        <v>111758</v>
      </c>
      <c r="D217" s="4">
        <v>281329</v>
      </c>
      <c r="E217" s="4">
        <v>531304</v>
      </c>
      <c r="F217" s="4">
        <v>559873</v>
      </c>
    </row>
    <row r="218" spans="1:6" ht="12.75">
      <c r="A218" s="28" t="s">
        <v>45</v>
      </c>
      <c r="B218" s="29" t="s">
        <v>158</v>
      </c>
      <c r="C218" s="4">
        <v>830909</v>
      </c>
      <c r="D218" s="4">
        <v>884113</v>
      </c>
      <c r="E218" s="4">
        <v>1004018</v>
      </c>
      <c r="F218" s="4">
        <v>1008058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6"/>
  <sheetViews>
    <sheetView zoomScale="70" zoomScaleNormal="70" zoomScalePageLayoutView="0" workbookViewId="0" topLeftCell="A274">
      <selection activeCell="M324" sqref="M324"/>
    </sheetView>
  </sheetViews>
  <sheetFormatPr defaultColWidth="9.140625" defaultRowHeight="12.75"/>
  <cols>
    <col min="1" max="1" width="24.7109375" style="32" customWidth="1"/>
    <col min="2" max="2" width="19.7109375" style="32" customWidth="1"/>
  </cols>
  <sheetData>
    <row r="1" spans="1:2" ht="18">
      <c r="A1" s="33" t="s">
        <v>163</v>
      </c>
      <c r="B1" s="33"/>
    </row>
    <row r="2" ht="12.75">
      <c r="A2" s="32" t="s">
        <v>0</v>
      </c>
    </row>
    <row r="3" spans="1:4" ht="12.75">
      <c r="A3" s="32" t="s">
        <v>1</v>
      </c>
      <c r="C3" s="2" t="s">
        <v>190</v>
      </c>
      <c r="D3" s="2"/>
    </row>
    <row r="5" spans="1:3" ht="12.75">
      <c r="A5" s="32" t="s">
        <v>2</v>
      </c>
      <c r="C5" t="s">
        <v>3</v>
      </c>
    </row>
    <row r="6" spans="1:4" ht="12.75">
      <c r="A6" s="32" t="s">
        <v>4</v>
      </c>
      <c r="C6" s="15" t="s">
        <v>86</v>
      </c>
      <c r="D6" s="15"/>
    </row>
    <row r="7" spans="1:3" ht="12.75">
      <c r="A7" s="32" t="s">
        <v>5</v>
      </c>
      <c r="C7" t="s">
        <v>96</v>
      </c>
    </row>
    <row r="8" spans="1:6" ht="12.75">
      <c r="A8" s="32" t="s">
        <v>6</v>
      </c>
      <c r="C8" t="s">
        <v>97</v>
      </c>
      <c r="F8" s="19" t="s">
        <v>104</v>
      </c>
    </row>
    <row r="10" spans="3:6" ht="12.75">
      <c r="C10">
        <v>2</v>
      </c>
      <c r="D10">
        <v>12</v>
      </c>
      <c r="E10">
        <v>19</v>
      </c>
      <c r="F10">
        <v>20</v>
      </c>
    </row>
    <row r="11" spans="1:6" ht="12.75">
      <c r="A11" s="28" t="s">
        <v>7</v>
      </c>
      <c r="B11" s="28"/>
      <c r="C11" s="3">
        <v>1990</v>
      </c>
      <c r="D11" s="3">
        <v>2000</v>
      </c>
      <c r="E11" s="3">
        <v>2007</v>
      </c>
      <c r="F11" s="3">
        <v>2008</v>
      </c>
    </row>
    <row r="12" spans="1:6" ht="12.75">
      <c r="A12" s="28" t="s">
        <v>8</v>
      </c>
      <c r="B12" s="28" t="s">
        <v>112</v>
      </c>
      <c r="C12" s="4">
        <v>64033</v>
      </c>
      <c r="D12" s="4">
        <v>64616</v>
      </c>
      <c r="E12" s="4">
        <v>84766</v>
      </c>
      <c r="F12" s="4">
        <v>87772</v>
      </c>
    </row>
    <row r="13" spans="1:6" ht="12.75">
      <c r="A13" s="28" t="s">
        <v>9</v>
      </c>
      <c r="B13" s="28" t="s">
        <v>113</v>
      </c>
      <c r="C13" s="4">
        <v>97988</v>
      </c>
      <c r="D13" s="4">
        <v>122483</v>
      </c>
      <c r="E13" s="4">
        <v>138287</v>
      </c>
      <c r="F13" s="4">
        <v>132934</v>
      </c>
    </row>
    <row r="14" spans="1:6" ht="12.75">
      <c r="A14" s="28" t="s">
        <v>10</v>
      </c>
      <c r="B14" s="28" t="s">
        <v>114</v>
      </c>
      <c r="C14" s="4">
        <v>92153</v>
      </c>
      <c r="D14" s="4">
        <v>71262</v>
      </c>
      <c r="E14" s="4">
        <v>91343</v>
      </c>
      <c r="F14" s="4">
        <v>93143</v>
      </c>
    </row>
    <row r="15" spans="1:6" ht="12.75">
      <c r="A15" s="28" t="s">
        <v>11</v>
      </c>
      <c r="B15" s="28" t="s">
        <v>144</v>
      </c>
      <c r="C15" s="4">
        <v>17802</v>
      </c>
      <c r="D15" s="4">
        <v>17316</v>
      </c>
      <c r="E15" s="4">
        <v>28116</v>
      </c>
      <c r="F15" s="4">
        <v>25056</v>
      </c>
    </row>
    <row r="16" spans="1:6" ht="12.75">
      <c r="A16" s="28" t="s">
        <v>12</v>
      </c>
      <c r="B16" s="28" t="s">
        <v>115</v>
      </c>
      <c r="C16" s="4">
        <v>7106</v>
      </c>
      <c r="D16" s="4">
        <v>12132</v>
      </c>
      <c r="E16" s="4">
        <v>17528</v>
      </c>
      <c r="F16" s="4">
        <v>18274</v>
      </c>
    </row>
    <row r="17" spans="1:6" ht="12.75">
      <c r="A17" s="28" t="s">
        <v>13</v>
      </c>
      <c r="B17" s="28" t="s">
        <v>145</v>
      </c>
      <c r="C17" s="4">
        <v>174690</v>
      </c>
      <c r="D17" s="4">
        <v>207227</v>
      </c>
      <c r="E17" s="4">
        <v>213761</v>
      </c>
      <c r="F17" s="4">
        <v>195646</v>
      </c>
    </row>
    <row r="18" spans="1:6" ht="12.75">
      <c r="A18" s="28" t="s">
        <v>89</v>
      </c>
      <c r="B18" s="28" t="s">
        <v>146</v>
      </c>
      <c r="C18" s="4">
        <v>1359652</v>
      </c>
      <c r="D18" s="4">
        <v>1319440</v>
      </c>
      <c r="E18" s="4">
        <v>1542222</v>
      </c>
      <c r="F18" s="4">
        <v>1516320</v>
      </c>
    </row>
    <row r="19" spans="1:6" ht="12.75">
      <c r="A19" s="28" t="s">
        <v>14</v>
      </c>
      <c r="B19" s="28" t="s">
        <v>116</v>
      </c>
      <c r="C19" s="4">
        <v>91220</v>
      </c>
      <c r="D19" s="4">
        <v>114401</v>
      </c>
      <c r="E19" s="4">
        <v>115045</v>
      </c>
      <c r="F19" s="4">
        <v>105962</v>
      </c>
    </row>
    <row r="20" spans="1:6" ht="12.75">
      <c r="A20" s="28" t="s">
        <v>90</v>
      </c>
      <c r="B20" s="28" t="s">
        <v>147</v>
      </c>
      <c r="C20" s="4">
        <v>3061537</v>
      </c>
      <c r="D20" s="4">
        <v>3583307</v>
      </c>
      <c r="E20" s="4">
        <v>4612025</v>
      </c>
      <c r="F20" s="4">
        <v>4580762</v>
      </c>
    </row>
    <row r="21" spans="1:6" ht="12.75">
      <c r="A21" s="28" t="s">
        <v>15</v>
      </c>
      <c r="B21" s="34" t="s">
        <v>148</v>
      </c>
      <c r="C21" s="4">
        <v>3180352</v>
      </c>
      <c r="D21" s="4">
        <v>3760718</v>
      </c>
      <c r="E21" s="4">
        <v>4590129</v>
      </c>
      <c r="F21" s="4">
        <v>4532306</v>
      </c>
    </row>
    <row r="22" spans="1:6" ht="12.75">
      <c r="A22" s="28" t="s">
        <v>16</v>
      </c>
      <c r="B22" s="28" t="s">
        <v>149</v>
      </c>
      <c r="C22" s="4">
        <v>3197884</v>
      </c>
      <c r="D22" s="4">
        <v>3778823</v>
      </c>
      <c r="E22" s="4">
        <v>4612025</v>
      </c>
      <c r="F22" s="4">
        <v>4554295</v>
      </c>
    </row>
    <row r="23" spans="1:6" ht="12.75">
      <c r="A23" s="28" t="s">
        <v>17</v>
      </c>
      <c r="B23" s="28" t="s">
        <v>150</v>
      </c>
      <c r="C23" s="4">
        <v>3208950</v>
      </c>
      <c r="D23" s="4">
        <v>3797856</v>
      </c>
      <c r="E23" s="4">
        <v>4637819</v>
      </c>
      <c r="F23" s="4">
        <v>4580762</v>
      </c>
    </row>
    <row r="24" spans="1:6" ht="12.75">
      <c r="A24" s="28" t="s">
        <v>18</v>
      </c>
      <c r="B24" s="28" t="s">
        <v>151</v>
      </c>
      <c r="C24" s="4">
        <v>3243208</v>
      </c>
      <c r="D24" s="4">
        <v>3831033</v>
      </c>
      <c r="E24" s="4">
        <v>4666975</v>
      </c>
      <c r="F24" s="4">
        <v>4609602</v>
      </c>
    </row>
    <row r="25" spans="1:6" ht="12.75">
      <c r="A25" s="28" t="s">
        <v>19</v>
      </c>
      <c r="B25" s="28" t="s">
        <v>117</v>
      </c>
      <c r="C25" s="4">
        <v>61852</v>
      </c>
      <c r="D25" s="4">
        <v>30625</v>
      </c>
      <c r="E25" s="4">
        <v>43481</v>
      </c>
      <c r="F25" s="4">
        <v>37512</v>
      </c>
    </row>
    <row r="26" spans="1:6" ht="12.75">
      <c r="A26" s="28" t="s">
        <v>91</v>
      </c>
      <c r="B26" s="28" t="s">
        <v>152</v>
      </c>
      <c r="C26" s="4">
        <v>4179582</v>
      </c>
      <c r="D26" s="4">
        <v>4935175</v>
      </c>
      <c r="E26" s="31">
        <v>4935175</v>
      </c>
      <c r="F26" s="31">
        <v>4935175</v>
      </c>
    </row>
    <row r="27" spans="1:6" ht="12.75">
      <c r="A27" s="28" t="s">
        <v>20</v>
      </c>
      <c r="B27" s="28" t="s">
        <v>118</v>
      </c>
      <c r="C27" s="4">
        <v>256640</v>
      </c>
      <c r="D27" s="4">
        <v>454968</v>
      </c>
      <c r="E27" s="4">
        <v>688889</v>
      </c>
      <c r="F27" s="4">
        <v>698026</v>
      </c>
    </row>
    <row r="28" spans="1:6" ht="12.75">
      <c r="A28" s="28" t="s">
        <v>21</v>
      </c>
      <c r="B28" s="28" t="s">
        <v>153</v>
      </c>
      <c r="C28" s="4">
        <v>4176803</v>
      </c>
      <c r="D28" s="4">
        <v>4928011</v>
      </c>
      <c r="E28" s="4">
        <v>5907726</v>
      </c>
      <c r="F28" s="4">
        <v>5845871</v>
      </c>
    </row>
    <row r="29" spans="1:6" ht="12.75">
      <c r="A29" s="28" t="s">
        <v>22</v>
      </c>
      <c r="B29" s="28" t="s">
        <v>154</v>
      </c>
      <c r="C29" s="4">
        <v>5054486</v>
      </c>
      <c r="D29" s="4">
        <v>5832234</v>
      </c>
      <c r="E29" s="4">
        <v>6911211</v>
      </c>
      <c r="F29" s="4">
        <v>6812921</v>
      </c>
    </row>
    <row r="30" spans="1:6" ht="12.75">
      <c r="A30" s="28" t="s">
        <v>23</v>
      </c>
      <c r="B30" s="28" t="s">
        <v>155</v>
      </c>
      <c r="C30" s="4">
        <v>5313783</v>
      </c>
      <c r="D30" s="4">
        <v>6017616</v>
      </c>
      <c r="E30" s="4">
        <v>7139336</v>
      </c>
      <c r="F30" s="4">
        <v>7037571</v>
      </c>
    </row>
    <row r="31" spans="1:6" ht="12.75">
      <c r="A31" s="28" t="s">
        <v>24</v>
      </c>
      <c r="B31" s="28" t="s">
        <v>119</v>
      </c>
      <c r="C31" s="4">
        <v>87487</v>
      </c>
      <c r="D31" s="4">
        <v>117972</v>
      </c>
      <c r="E31" s="4">
        <v>156434</v>
      </c>
      <c r="F31" s="4">
        <v>133564</v>
      </c>
    </row>
    <row r="32" spans="1:6" ht="12.75">
      <c r="A32" s="28" t="s">
        <v>25</v>
      </c>
      <c r="B32" s="28" t="s">
        <v>120</v>
      </c>
      <c r="C32" s="4">
        <v>175540</v>
      </c>
      <c r="D32" s="4">
        <v>191160</v>
      </c>
      <c r="E32" s="4">
        <v>222700</v>
      </c>
      <c r="F32" s="4">
        <v>218992</v>
      </c>
    </row>
    <row r="33" spans="1:6" ht="12.75">
      <c r="A33" s="28" t="s">
        <v>26</v>
      </c>
      <c r="B33" s="28" t="s">
        <v>121</v>
      </c>
      <c r="C33" s="4">
        <v>118814</v>
      </c>
      <c r="D33" s="4">
        <v>177412</v>
      </c>
      <c r="E33" s="4">
        <v>209894</v>
      </c>
      <c r="F33" s="4">
        <v>206471</v>
      </c>
    </row>
    <row r="34" spans="1:6" ht="12.75">
      <c r="A34" s="28" t="s">
        <v>27</v>
      </c>
      <c r="B34" s="28" t="s">
        <v>144</v>
      </c>
      <c r="C34" s="4">
        <v>17802</v>
      </c>
      <c r="D34" s="4">
        <v>17316</v>
      </c>
      <c r="E34" s="4">
        <v>28116</v>
      </c>
      <c r="F34" s="4">
        <v>25056</v>
      </c>
    </row>
    <row r="35" spans="1:6" ht="12.75">
      <c r="A35" s="28" t="s">
        <v>28</v>
      </c>
      <c r="B35" s="28" t="s">
        <v>122</v>
      </c>
      <c r="C35" s="4">
        <v>52297</v>
      </c>
      <c r="D35" s="4">
        <v>74999</v>
      </c>
      <c r="E35" s="4">
        <v>89863</v>
      </c>
      <c r="F35" s="4">
        <v>89244</v>
      </c>
    </row>
    <row r="36" spans="1:6" ht="12.75">
      <c r="A36" s="28" t="s">
        <v>29</v>
      </c>
      <c r="B36" s="28" t="s">
        <v>123</v>
      </c>
      <c r="C36" s="4">
        <v>48737</v>
      </c>
      <c r="D36" s="4">
        <v>81392</v>
      </c>
      <c r="E36" s="4">
        <v>90907</v>
      </c>
      <c r="F36" s="4">
        <v>93510</v>
      </c>
    </row>
    <row r="37" spans="1:6" ht="12.75">
      <c r="A37" s="28" t="s">
        <v>30</v>
      </c>
      <c r="B37" s="28" t="s">
        <v>124</v>
      </c>
      <c r="C37" s="4">
        <v>1102</v>
      </c>
      <c r="D37" s="4">
        <v>4781</v>
      </c>
      <c r="E37" s="31">
        <v>4781</v>
      </c>
      <c r="F37" s="31">
        <v>4781</v>
      </c>
    </row>
    <row r="38" spans="1:6" ht="12.75">
      <c r="A38" s="28" t="s">
        <v>31</v>
      </c>
      <c r="B38" s="28" t="s">
        <v>125</v>
      </c>
      <c r="C38" s="4">
        <v>654494</v>
      </c>
      <c r="D38" s="4">
        <v>810468</v>
      </c>
      <c r="E38" s="4">
        <v>976795</v>
      </c>
      <c r="F38" s="4">
        <v>960653</v>
      </c>
    </row>
    <row r="39" spans="1:6" ht="12.75">
      <c r="A39" s="28" t="s">
        <v>32</v>
      </c>
      <c r="B39" s="28" t="s">
        <v>126</v>
      </c>
      <c r="C39" s="4">
        <v>39449</v>
      </c>
      <c r="D39" s="4">
        <v>8503</v>
      </c>
      <c r="E39" s="4">
        <v>11196</v>
      </c>
      <c r="F39" s="4">
        <v>10436</v>
      </c>
    </row>
    <row r="40" spans="1:6" ht="12.75">
      <c r="A40" s="28" t="s">
        <v>92</v>
      </c>
      <c r="B40" s="28" t="s">
        <v>156</v>
      </c>
      <c r="C40" s="4">
        <v>1994</v>
      </c>
      <c r="D40" s="4">
        <v>1030</v>
      </c>
      <c r="E40" s="4">
        <v>10793</v>
      </c>
      <c r="F40" s="4">
        <v>9040</v>
      </c>
    </row>
    <row r="41" spans="1:6" ht="12.75">
      <c r="A41" s="28" t="s">
        <v>33</v>
      </c>
      <c r="B41" s="28" t="s">
        <v>127</v>
      </c>
      <c r="C41" s="4">
        <v>7747</v>
      </c>
      <c r="D41" s="4">
        <v>4727</v>
      </c>
      <c r="E41" s="4">
        <v>7146</v>
      </c>
      <c r="F41" s="4">
        <v>7582</v>
      </c>
    </row>
    <row r="42" spans="1:6" ht="12.75">
      <c r="A42" s="28" t="s">
        <v>34</v>
      </c>
      <c r="B42" s="28" t="s">
        <v>128</v>
      </c>
      <c r="C42" s="4">
        <v>3960</v>
      </c>
      <c r="D42" s="4">
        <v>6901</v>
      </c>
      <c r="E42" s="4">
        <v>8266</v>
      </c>
      <c r="F42" s="4">
        <v>8194</v>
      </c>
    </row>
    <row r="43" spans="1:6" ht="12.75">
      <c r="A43" s="28" t="s">
        <v>35</v>
      </c>
      <c r="B43" s="28" t="s">
        <v>129</v>
      </c>
      <c r="C43" s="4">
        <v>245862</v>
      </c>
      <c r="D43" s="4">
        <v>305014</v>
      </c>
      <c r="E43" s="4">
        <v>350568</v>
      </c>
      <c r="F43" s="4">
        <v>356666</v>
      </c>
    </row>
    <row r="44" spans="1:6" ht="12.75">
      <c r="A44" s="28" t="s">
        <v>36</v>
      </c>
      <c r="B44" s="28" t="s">
        <v>157</v>
      </c>
      <c r="C44" s="4">
        <v>877684</v>
      </c>
      <c r="D44" s="4">
        <v>904223</v>
      </c>
      <c r="E44" s="4">
        <v>1003486</v>
      </c>
      <c r="F44" s="4">
        <v>967050</v>
      </c>
    </row>
    <row r="45" spans="1:6" ht="12.75">
      <c r="A45" s="28" t="s">
        <v>37</v>
      </c>
      <c r="B45" s="28" t="s">
        <v>130</v>
      </c>
      <c r="C45" s="4">
        <v>1678</v>
      </c>
      <c r="D45" s="4">
        <v>2383</v>
      </c>
      <c r="E45" s="4">
        <v>5630</v>
      </c>
      <c r="F45" s="4">
        <v>4428</v>
      </c>
    </row>
    <row r="46" spans="1:6" ht="12.75">
      <c r="A46" s="28" t="s">
        <v>38</v>
      </c>
      <c r="B46" s="28" t="s">
        <v>131</v>
      </c>
      <c r="C46" s="4">
        <v>478793</v>
      </c>
      <c r="D46" s="4">
        <v>507827</v>
      </c>
      <c r="E46" s="4">
        <v>561193</v>
      </c>
      <c r="F46" s="4">
        <v>549335</v>
      </c>
    </row>
    <row r="47" spans="1:6" ht="12.75">
      <c r="A47" s="28" t="s">
        <v>39</v>
      </c>
      <c r="B47" s="28" t="s">
        <v>132</v>
      </c>
      <c r="C47" s="4">
        <v>69109</v>
      </c>
      <c r="D47" s="4">
        <v>114764</v>
      </c>
      <c r="E47" s="4">
        <v>117875</v>
      </c>
      <c r="F47" s="4">
        <v>118361</v>
      </c>
    </row>
    <row r="48" spans="1:6" ht="12.75">
      <c r="A48" s="28" t="s">
        <v>40</v>
      </c>
      <c r="B48" s="28" t="s">
        <v>133</v>
      </c>
      <c r="C48" s="4">
        <v>167144</v>
      </c>
      <c r="D48" s="4">
        <v>114120</v>
      </c>
      <c r="E48" s="4">
        <v>136782</v>
      </c>
      <c r="F48" s="4">
        <v>131508</v>
      </c>
    </row>
    <row r="49" spans="1:6" ht="12.75">
      <c r="A49" s="28" t="s">
        <v>41</v>
      </c>
      <c r="B49" s="28" t="s">
        <v>134</v>
      </c>
      <c r="C49" s="4">
        <v>19044</v>
      </c>
      <c r="D49" s="4">
        <v>33091</v>
      </c>
      <c r="E49" s="4">
        <v>51343</v>
      </c>
      <c r="F49" s="4">
        <v>53770</v>
      </c>
    </row>
    <row r="50" spans="1:6" ht="12.75">
      <c r="A50" s="28" t="s">
        <v>42</v>
      </c>
      <c r="B50" s="28" t="s">
        <v>135</v>
      </c>
      <c r="C50" s="4">
        <v>17532</v>
      </c>
      <c r="D50" s="4">
        <v>18104</v>
      </c>
      <c r="E50" s="4">
        <v>21895</v>
      </c>
      <c r="F50" s="4">
        <v>21989</v>
      </c>
    </row>
    <row r="51" spans="1:6" ht="12.75">
      <c r="A51" s="28" t="s">
        <v>43</v>
      </c>
      <c r="B51" s="28" t="s">
        <v>136</v>
      </c>
      <c r="C51" s="4">
        <v>34258</v>
      </c>
      <c r="D51" s="4">
        <v>33178</v>
      </c>
      <c r="E51" s="4">
        <v>29156</v>
      </c>
      <c r="F51" s="4">
        <v>28840</v>
      </c>
    </row>
    <row r="52" spans="1:6" ht="12.75">
      <c r="A52" s="28" t="s">
        <v>44</v>
      </c>
      <c r="B52" s="28" t="s">
        <v>137</v>
      </c>
      <c r="C52" s="4">
        <v>123822</v>
      </c>
      <c r="D52" s="4">
        <v>338436</v>
      </c>
      <c r="E52" s="4">
        <v>559267</v>
      </c>
      <c r="F52" s="4">
        <v>591484</v>
      </c>
    </row>
    <row r="53" spans="1:6" ht="12.75">
      <c r="A53" s="28" t="s">
        <v>45</v>
      </c>
      <c r="B53" s="28" t="s">
        <v>158</v>
      </c>
      <c r="C53" s="4">
        <v>886187</v>
      </c>
      <c r="D53" s="4">
        <v>1019801</v>
      </c>
      <c r="E53" s="4">
        <v>1151208</v>
      </c>
      <c r="F53" s="4">
        <v>1153832</v>
      </c>
    </row>
    <row r="56" spans="1:2" ht="18">
      <c r="A56" s="33" t="s">
        <v>163</v>
      </c>
      <c r="B56" s="33"/>
    </row>
    <row r="57" ht="12.75">
      <c r="A57" s="32" t="s">
        <v>0</v>
      </c>
    </row>
    <row r="58" spans="1:4" ht="12.75">
      <c r="A58" s="32" t="s">
        <v>1</v>
      </c>
      <c r="C58" s="2" t="s">
        <v>164</v>
      </c>
      <c r="D58" s="2"/>
    </row>
    <row r="60" spans="1:3" ht="12.75">
      <c r="A60" s="32" t="s">
        <v>2</v>
      </c>
      <c r="C60" t="s">
        <v>3</v>
      </c>
    </row>
    <row r="61" spans="1:4" ht="12.75">
      <c r="A61" s="32" t="s">
        <v>4</v>
      </c>
      <c r="C61" s="15" t="s">
        <v>94</v>
      </c>
      <c r="D61" s="15"/>
    </row>
    <row r="62" spans="1:3" ht="12.75">
      <c r="A62" s="32" t="s">
        <v>5</v>
      </c>
      <c r="C62" t="s">
        <v>96</v>
      </c>
    </row>
    <row r="63" spans="1:3" ht="12.75">
      <c r="A63" s="32" t="s">
        <v>6</v>
      </c>
      <c r="C63" t="s">
        <v>97</v>
      </c>
    </row>
    <row r="66" spans="1:6" ht="12.75">
      <c r="A66" s="28" t="s">
        <v>7</v>
      </c>
      <c r="B66" s="28"/>
      <c r="C66" s="3">
        <v>1990</v>
      </c>
      <c r="D66" s="3">
        <v>2000</v>
      </c>
      <c r="E66" s="3">
        <v>2007</v>
      </c>
      <c r="F66" s="3">
        <v>2008</v>
      </c>
    </row>
    <row r="67" spans="1:6" ht="12.75">
      <c r="A67" s="28" t="s">
        <v>8</v>
      </c>
      <c r="B67" s="28" t="s">
        <v>112</v>
      </c>
      <c r="C67" s="4">
        <v>47851</v>
      </c>
      <c r="D67" s="4">
        <v>41792</v>
      </c>
      <c r="E67" s="4">
        <v>57316</v>
      </c>
      <c r="F67" s="4">
        <v>60253</v>
      </c>
    </row>
    <row r="68" spans="1:6" ht="12.75">
      <c r="A68" s="28" t="s">
        <v>9</v>
      </c>
      <c r="B68" s="28" t="s">
        <v>113</v>
      </c>
      <c r="C68" s="4">
        <v>88488</v>
      </c>
      <c r="D68" s="4">
        <v>116240</v>
      </c>
      <c r="E68" s="4">
        <v>130702</v>
      </c>
      <c r="F68" s="4">
        <v>122720</v>
      </c>
    </row>
    <row r="69" spans="1:6" ht="12.75">
      <c r="A69" s="28" t="s">
        <v>10</v>
      </c>
      <c r="B69" s="28" t="s">
        <v>114</v>
      </c>
      <c r="C69" s="4">
        <v>78178</v>
      </c>
      <c r="D69" s="4">
        <v>64616</v>
      </c>
      <c r="E69" s="4">
        <v>84740</v>
      </c>
      <c r="F69" s="4">
        <v>90007</v>
      </c>
    </row>
    <row r="70" spans="1:6" ht="12.75">
      <c r="A70" s="28" t="s">
        <v>11</v>
      </c>
      <c r="B70" s="28" t="s">
        <v>144</v>
      </c>
      <c r="C70" s="4">
        <v>15538</v>
      </c>
      <c r="D70" s="4">
        <v>15300</v>
      </c>
      <c r="E70" s="4">
        <v>26269</v>
      </c>
      <c r="F70" s="4">
        <v>23400</v>
      </c>
    </row>
    <row r="71" spans="1:6" ht="12.75">
      <c r="A71" s="28" t="s">
        <v>12</v>
      </c>
      <c r="B71" s="28" t="s">
        <v>115</v>
      </c>
      <c r="C71" s="4">
        <v>7106</v>
      </c>
      <c r="D71" s="4">
        <v>12132</v>
      </c>
      <c r="E71" s="4">
        <v>17230</v>
      </c>
      <c r="F71" s="4">
        <v>18014</v>
      </c>
    </row>
    <row r="72" spans="1:6" ht="12.75">
      <c r="A72" s="28" t="s">
        <v>13</v>
      </c>
      <c r="B72" s="28" t="s">
        <v>145</v>
      </c>
      <c r="C72" s="4">
        <v>148493</v>
      </c>
      <c r="D72" s="4">
        <v>170928</v>
      </c>
      <c r="E72" s="4">
        <v>182437</v>
      </c>
      <c r="F72" s="4">
        <v>163231</v>
      </c>
    </row>
    <row r="73" spans="1:6" ht="12.75">
      <c r="A73" s="28" t="s">
        <v>89</v>
      </c>
      <c r="B73" s="28" t="s">
        <v>146</v>
      </c>
      <c r="C73" s="4">
        <v>961193</v>
      </c>
      <c r="D73" s="4">
        <v>1137323</v>
      </c>
      <c r="E73" s="4">
        <v>1351919</v>
      </c>
      <c r="F73" s="4">
        <v>1339988</v>
      </c>
    </row>
    <row r="74" spans="1:6" ht="12.75">
      <c r="A74" s="28" t="s">
        <v>14</v>
      </c>
      <c r="B74" s="28" t="s">
        <v>116</v>
      </c>
      <c r="C74" s="4">
        <v>89122</v>
      </c>
      <c r="D74" s="4">
        <v>104227</v>
      </c>
      <c r="E74" s="4">
        <v>106643</v>
      </c>
      <c r="F74" s="4">
        <v>97902</v>
      </c>
    </row>
    <row r="75" spans="1:6" ht="12.75">
      <c r="A75" s="28" t="s">
        <v>90</v>
      </c>
      <c r="B75" s="28" t="s">
        <v>147</v>
      </c>
      <c r="C75" s="4">
        <v>2393654</v>
      </c>
      <c r="D75" s="4">
        <v>2972556</v>
      </c>
      <c r="E75" s="4">
        <v>3987075</v>
      </c>
      <c r="F75" s="4">
        <v>3950157</v>
      </c>
    </row>
    <row r="76" spans="1:6" ht="12.75">
      <c r="A76" s="28" t="s">
        <v>15</v>
      </c>
      <c r="B76" s="34" t="s">
        <v>148</v>
      </c>
      <c r="C76" s="4">
        <v>2509319</v>
      </c>
      <c r="D76" s="4">
        <v>3146317</v>
      </c>
      <c r="E76" s="4">
        <v>3966267</v>
      </c>
      <c r="F76" s="4">
        <v>3902965</v>
      </c>
    </row>
    <row r="77" spans="1:6" ht="12.75">
      <c r="A77" s="28" t="s">
        <v>16</v>
      </c>
      <c r="B77" s="28" t="s">
        <v>149</v>
      </c>
      <c r="C77" s="4">
        <v>2523244</v>
      </c>
      <c r="D77" s="4">
        <v>3162802</v>
      </c>
      <c r="E77" s="4">
        <v>3987075</v>
      </c>
      <c r="F77" s="4">
        <v>3923949</v>
      </c>
    </row>
    <row r="78" spans="1:6" ht="12.75">
      <c r="A78" s="28" t="s">
        <v>17</v>
      </c>
      <c r="B78" s="28" t="s">
        <v>150</v>
      </c>
      <c r="C78" s="4">
        <v>2534310</v>
      </c>
      <c r="D78" s="4">
        <v>3181835</v>
      </c>
      <c r="E78" s="4">
        <v>4012571</v>
      </c>
      <c r="F78" s="4">
        <v>3950157</v>
      </c>
    </row>
    <row r="79" spans="1:6" ht="12.75">
      <c r="A79" s="28" t="s">
        <v>18</v>
      </c>
      <c r="B79" s="28" t="s">
        <v>151</v>
      </c>
      <c r="C79" s="4">
        <v>2568568</v>
      </c>
      <c r="D79" s="4">
        <v>3215012</v>
      </c>
      <c r="E79" s="4">
        <v>4032183</v>
      </c>
      <c r="F79" s="4">
        <v>3969432</v>
      </c>
    </row>
    <row r="80" spans="1:6" ht="12.75">
      <c r="A80" s="28" t="s">
        <v>19</v>
      </c>
      <c r="B80" s="28" t="s">
        <v>117</v>
      </c>
      <c r="C80" s="4">
        <v>61682</v>
      </c>
      <c r="D80" s="4">
        <v>30121</v>
      </c>
      <c r="E80" s="4">
        <v>43006</v>
      </c>
      <c r="F80" s="4">
        <v>37109</v>
      </c>
    </row>
    <row r="81" spans="1:6" ht="12.75">
      <c r="A81" s="28" t="s">
        <v>91</v>
      </c>
      <c r="B81" s="28" t="s">
        <v>152</v>
      </c>
      <c r="C81" s="4">
        <v>3440365</v>
      </c>
      <c r="D81" s="4">
        <v>4157568</v>
      </c>
      <c r="E81" s="31">
        <v>4157568</v>
      </c>
      <c r="F81" s="31">
        <v>4157568</v>
      </c>
    </row>
    <row r="82" spans="1:6" ht="12.75">
      <c r="A82" s="28" t="s">
        <v>20</v>
      </c>
      <c r="B82" s="28" t="s">
        <v>118</v>
      </c>
      <c r="C82" s="4">
        <v>245704</v>
      </c>
      <c r="D82" s="4">
        <v>353930</v>
      </c>
      <c r="E82" s="4">
        <v>567504</v>
      </c>
      <c r="F82" s="4">
        <v>564887</v>
      </c>
    </row>
    <row r="83" spans="1:6" ht="12.75">
      <c r="A83" s="28" t="s">
        <v>21</v>
      </c>
      <c r="B83" s="28" t="s">
        <v>153</v>
      </c>
      <c r="C83" s="4">
        <v>3438508</v>
      </c>
      <c r="D83" s="4">
        <v>4152243</v>
      </c>
      <c r="E83" s="4">
        <v>5106773</v>
      </c>
      <c r="F83" s="4">
        <v>5039453</v>
      </c>
    </row>
    <row r="84" spans="1:6" ht="12.75">
      <c r="A84" s="28" t="s">
        <v>22</v>
      </c>
      <c r="B84" s="28" t="s">
        <v>154</v>
      </c>
      <c r="C84" s="4">
        <v>4252629</v>
      </c>
      <c r="D84" s="4">
        <v>4989704</v>
      </c>
      <c r="E84" s="4">
        <v>6035580</v>
      </c>
      <c r="F84" s="4">
        <v>5934920</v>
      </c>
    </row>
    <row r="85" spans="1:6" ht="12.75">
      <c r="A85" s="28" t="s">
        <v>23</v>
      </c>
      <c r="B85" s="28" t="s">
        <v>155</v>
      </c>
      <c r="C85" s="4">
        <v>4492101</v>
      </c>
      <c r="D85" s="4">
        <v>5163563</v>
      </c>
      <c r="E85" s="4">
        <v>6246770</v>
      </c>
      <c r="F85" s="4">
        <v>6146517</v>
      </c>
    </row>
    <row r="86" spans="1:6" ht="12.75">
      <c r="A86" s="28" t="s">
        <v>24</v>
      </c>
      <c r="B86" s="28" t="s">
        <v>119</v>
      </c>
      <c r="C86" s="4">
        <v>56218</v>
      </c>
      <c r="D86" s="4">
        <v>76259</v>
      </c>
      <c r="E86" s="4">
        <v>116006</v>
      </c>
      <c r="F86" s="4">
        <v>94730</v>
      </c>
    </row>
    <row r="87" spans="1:6" ht="12.75">
      <c r="A87" s="28" t="s">
        <v>25</v>
      </c>
      <c r="B87" s="28" t="s">
        <v>120</v>
      </c>
      <c r="C87" s="4">
        <v>100721</v>
      </c>
      <c r="D87" s="4">
        <v>137653</v>
      </c>
      <c r="E87" s="4">
        <v>143629</v>
      </c>
      <c r="F87" s="4">
        <v>153803</v>
      </c>
    </row>
    <row r="88" spans="1:6" ht="12.75">
      <c r="A88" s="28" t="s">
        <v>26</v>
      </c>
      <c r="B88" s="28" t="s">
        <v>121</v>
      </c>
      <c r="C88" s="4">
        <v>115664</v>
      </c>
      <c r="D88" s="4">
        <v>173761</v>
      </c>
      <c r="E88" s="4">
        <v>206658</v>
      </c>
      <c r="F88" s="4">
        <v>201751</v>
      </c>
    </row>
    <row r="89" spans="1:6" ht="12.75">
      <c r="A89" s="28" t="s">
        <v>27</v>
      </c>
      <c r="B89" s="28" t="s">
        <v>144</v>
      </c>
      <c r="C89" s="4">
        <v>15538</v>
      </c>
      <c r="D89" s="4">
        <v>15300</v>
      </c>
      <c r="E89" s="4">
        <v>26269</v>
      </c>
      <c r="F89" s="4">
        <v>23400</v>
      </c>
    </row>
    <row r="90" spans="1:6" ht="12.75">
      <c r="A90" s="28" t="s">
        <v>28</v>
      </c>
      <c r="B90" s="28" t="s">
        <v>122</v>
      </c>
      <c r="C90" s="4">
        <v>48794</v>
      </c>
      <c r="D90" s="4">
        <v>73206</v>
      </c>
      <c r="E90" s="4">
        <v>88672</v>
      </c>
      <c r="F90" s="4">
        <v>87865</v>
      </c>
    </row>
    <row r="91" spans="1:6" ht="12.75">
      <c r="A91" s="28" t="s">
        <v>29</v>
      </c>
      <c r="B91" s="28" t="s">
        <v>123</v>
      </c>
      <c r="C91" s="4">
        <v>47974</v>
      </c>
      <c r="D91" s="4">
        <v>79308</v>
      </c>
      <c r="E91" s="4">
        <v>84337</v>
      </c>
      <c r="F91" s="4">
        <v>86738</v>
      </c>
    </row>
    <row r="92" spans="1:6" ht="12.75">
      <c r="A92" s="28" t="s">
        <v>30</v>
      </c>
      <c r="B92" s="28" t="s">
        <v>124</v>
      </c>
      <c r="C92" s="4">
        <v>1098</v>
      </c>
      <c r="D92" s="4">
        <v>4777</v>
      </c>
      <c r="E92" s="31">
        <v>4777</v>
      </c>
      <c r="F92" s="31">
        <v>4777</v>
      </c>
    </row>
    <row r="93" spans="1:6" ht="12.75">
      <c r="A93" s="28" t="s">
        <v>31</v>
      </c>
      <c r="B93" s="28" t="s">
        <v>125</v>
      </c>
      <c r="C93" s="4">
        <v>579553</v>
      </c>
      <c r="D93" s="4">
        <v>676548</v>
      </c>
      <c r="E93" s="4">
        <v>910508</v>
      </c>
      <c r="F93" s="4">
        <v>896267</v>
      </c>
    </row>
    <row r="94" spans="1:6" ht="12.75">
      <c r="A94" s="28" t="s">
        <v>32</v>
      </c>
      <c r="B94" s="28" t="s">
        <v>126</v>
      </c>
      <c r="C94" s="4">
        <v>38912</v>
      </c>
      <c r="D94" s="4">
        <v>8114</v>
      </c>
      <c r="E94" s="4">
        <v>8986</v>
      </c>
      <c r="F94" s="4">
        <v>8816</v>
      </c>
    </row>
    <row r="95" spans="1:6" ht="12.75">
      <c r="A95" s="28" t="s">
        <v>92</v>
      </c>
      <c r="B95" s="28" t="s">
        <v>156</v>
      </c>
      <c r="C95" s="4">
        <v>122</v>
      </c>
      <c r="D95" s="4">
        <v>187</v>
      </c>
      <c r="E95" s="4">
        <v>9356</v>
      </c>
      <c r="F95" s="4">
        <v>7520</v>
      </c>
    </row>
    <row r="96" spans="1:6" ht="12.75">
      <c r="A96" s="28" t="s">
        <v>33</v>
      </c>
      <c r="B96" s="28" t="s">
        <v>127</v>
      </c>
      <c r="C96" s="4">
        <v>7355</v>
      </c>
      <c r="D96" s="4">
        <v>4604</v>
      </c>
      <c r="E96" s="4">
        <v>6905</v>
      </c>
      <c r="F96" s="4">
        <v>7362</v>
      </c>
    </row>
    <row r="97" spans="1:6" ht="12.75">
      <c r="A97" s="28" t="s">
        <v>34</v>
      </c>
      <c r="B97" s="28" t="s">
        <v>128</v>
      </c>
      <c r="C97" s="4">
        <v>3960</v>
      </c>
      <c r="D97" s="4">
        <v>6901</v>
      </c>
      <c r="E97" s="4">
        <v>8266</v>
      </c>
      <c r="F97" s="4">
        <v>8194</v>
      </c>
    </row>
    <row r="98" spans="1:6" ht="12.75">
      <c r="A98" s="28" t="s">
        <v>35</v>
      </c>
      <c r="B98" s="28" t="s">
        <v>129</v>
      </c>
      <c r="C98" s="4">
        <v>201791</v>
      </c>
      <c r="D98" s="4">
        <v>255730</v>
      </c>
      <c r="E98" s="4">
        <v>293400</v>
      </c>
      <c r="F98" s="4">
        <v>277646</v>
      </c>
    </row>
    <row r="99" spans="1:6" ht="12.75">
      <c r="A99" s="28" t="s">
        <v>36</v>
      </c>
      <c r="B99" s="28" t="s">
        <v>157</v>
      </c>
      <c r="C99" s="4">
        <v>814122</v>
      </c>
      <c r="D99" s="4">
        <v>837461</v>
      </c>
      <c r="E99" s="4">
        <v>928807</v>
      </c>
      <c r="F99" s="4">
        <v>895468</v>
      </c>
    </row>
    <row r="100" spans="1:6" ht="12.75">
      <c r="A100" s="28" t="s">
        <v>37</v>
      </c>
      <c r="B100" s="28" t="s">
        <v>130</v>
      </c>
      <c r="C100" s="4">
        <v>760</v>
      </c>
      <c r="D100" s="4">
        <v>547</v>
      </c>
      <c r="E100" s="4">
        <v>2441</v>
      </c>
      <c r="F100" s="4">
        <v>1390</v>
      </c>
    </row>
    <row r="101" spans="1:6" ht="12.75">
      <c r="A101" s="28" t="s">
        <v>38</v>
      </c>
      <c r="B101" s="28" t="s">
        <v>131</v>
      </c>
      <c r="C101" s="4">
        <v>449636</v>
      </c>
      <c r="D101" s="4">
        <v>481792</v>
      </c>
      <c r="E101" s="4">
        <v>532886</v>
      </c>
      <c r="F101" s="4">
        <v>524617</v>
      </c>
    </row>
    <row r="102" spans="1:6" ht="12.75">
      <c r="A102" s="28" t="s">
        <v>39</v>
      </c>
      <c r="B102" s="28" t="s">
        <v>132</v>
      </c>
      <c r="C102" s="4">
        <v>64040</v>
      </c>
      <c r="D102" s="4">
        <v>97585</v>
      </c>
      <c r="E102" s="4">
        <v>94932</v>
      </c>
      <c r="F102" s="4">
        <v>96660</v>
      </c>
    </row>
    <row r="103" spans="1:6" ht="12.75">
      <c r="A103" s="28" t="s">
        <v>40</v>
      </c>
      <c r="B103" s="28" t="s">
        <v>133</v>
      </c>
      <c r="C103" s="4">
        <v>161294</v>
      </c>
      <c r="D103" s="4">
        <v>109242</v>
      </c>
      <c r="E103" s="4">
        <v>126450</v>
      </c>
      <c r="F103" s="4">
        <v>121590</v>
      </c>
    </row>
    <row r="104" spans="1:6" ht="12.75">
      <c r="A104" s="28" t="s">
        <v>41</v>
      </c>
      <c r="B104" s="28" t="s">
        <v>134</v>
      </c>
      <c r="C104" s="4">
        <v>9158</v>
      </c>
      <c r="D104" s="4">
        <v>17586</v>
      </c>
      <c r="E104" s="4">
        <v>29844</v>
      </c>
      <c r="F104" s="4">
        <v>30528</v>
      </c>
    </row>
    <row r="105" spans="1:6" ht="12.75">
      <c r="A105" s="28" t="s">
        <v>42</v>
      </c>
      <c r="B105" s="28" t="s">
        <v>135</v>
      </c>
      <c r="C105" s="4">
        <v>13925</v>
      </c>
      <c r="D105" s="4">
        <v>16484</v>
      </c>
      <c r="E105" s="4">
        <v>20808</v>
      </c>
      <c r="F105" s="4">
        <v>20984</v>
      </c>
    </row>
    <row r="106" spans="1:6" ht="12.75">
      <c r="A106" s="28" t="s">
        <v>43</v>
      </c>
      <c r="B106" s="28" t="s">
        <v>136</v>
      </c>
      <c r="C106" s="4">
        <v>34258</v>
      </c>
      <c r="D106" s="4">
        <v>33178</v>
      </c>
      <c r="E106" s="4">
        <v>19613</v>
      </c>
      <c r="F106" s="4">
        <v>19274</v>
      </c>
    </row>
    <row r="107" spans="1:6" ht="12.75">
      <c r="A107" s="28" t="s">
        <v>44</v>
      </c>
      <c r="B107" s="28" t="s">
        <v>137</v>
      </c>
      <c r="C107" s="4">
        <v>111758</v>
      </c>
      <c r="D107" s="4">
        <v>281214</v>
      </c>
      <c r="E107" s="4">
        <v>507395</v>
      </c>
      <c r="F107" s="4">
        <v>537584</v>
      </c>
    </row>
    <row r="108" spans="1:6" ht="12.75">
      <c r="A108" s="28" t="s">
        <v>45</v>
      </c>
      <c r="B108" s="28" t="s">
        <v>158</v>
      </c>
      <c r="C108" s="4">
        <v>830909</v>
      </c>
      <c r="D108" s="4">
        <v>884113</v>
      </c>
      <c r="E108" s="4">
        <v>1004018</v>
      </c>
      <c r="F108" s="4">
        <v>1008058</v>
      </c>
    </row>
    <row r="111" spans="1:2" ht="18">
      <c r="A111" s="33" t="s">
        <v>163</v>
      </c>
      <c r="B111" s="33"/>
    </row>
    <row r="112" ht="12.75">
      <c r="A112" s="32" t="s">
        <v>0</v>
      </c>
    </row>
    <row r="113" spans="1:4" ht="12.75">
      <c r="A113" s="32" t="s">
        <v>1</v>
      </c>
      <c r="C113" s="2" t="s">
        <v>165</v>
      </c>
      <c r="D113" s="2"/>
    </row>
    <row r="115" spans="1:3" ht="12.75">
      <c r="A115" s="32" t="s">
        <v>2</v>
      </c>
      <c r="C115" t="s">
        <v>3</v>
      </c>
    </row>
    <row r="116" spans="1:4" ht="12.75">
      <c r="A116" s="32" t="s">
        <v>4</v>
      </c>
      <c r="C116" s="15" t="s">
        <v>95</v>
      </c>
      <c r="D116" s="15"/>
    </row>
    <row r="117" spans="1:3" ht="12.75">
      <c r="A117" s="32" t="s">
        <v>5</v>
      </c>
      <c r="C117" t="s">
        <v>96</v>
      </c>
    </row>
    <row r="118" spans="1:3" ht="12.75">
      <c r="A118" s="32" t="s">
        <v>6</v>
      </c>
      <c r="C118" t="s">
        <v>97</v>
      </c>
    </row>
    <row r="121" spans="1:6" ht="12.75">
      <c r="A121" s="28" t="s">
        <v>7</v>
      </c>
      <c r="B121" s="28"/>
      <c r="C121" s="3">
        <v>1990</v>
      </c>
      <c r="D121" s="3">
        <v>2000</v>
      </c>
      <c r="E121" s="3">
        <v>2007</v>
      </c>
      <c r="F121" s="3">
        <v>2008</v>
      </c>
    </row>
    <row r="122" spans="1:6" ht="12.75">
      <c r="A122" s="28" t="s">
        <v>8</v>
      </c>
      <c r="B122" s="28" t="s">
        <v>112</v>
      </c>
      <c r="C122" s="4">
        <v>16182</v>
      </c>
      <c r="D122" s="4">
        <v>22824</v>
      </c>
      <c r="E122" s="4">
        <v>27450</v>
      </c>
      <c r="F122" s="4">
        <v>27518</v>
      </c>
    </row>
    <row r="123" spans="1:6" ht="12.75">
      <c r="A123" s="28" t="s">
        <v>9</v>
      </c>
      <c r="B123" s="28" t="s">
        <v>113</v>
      </c>
      <c r="C123" s="4">
        <v>9500</v>
      </c>
      <c r="D123" s="4">
        <v>6242</v>
      </c>
      <c r="E123" s="4">
        <v>7585</v>
      </c>
      <c r="F123" s="4">
        <v>10213</v>
      </c>
    </row>
    <row r="124" spans="1:6" ht="12.75">
      <c r="A124" s="28" t="s">
        <v>10</v>
      </c>
      <c r="B124" s="28" t="s">
        <v>114</v>
      </c>
      <c r="C124" s="4">
        <v>13975</v>
      </c>
      <c r="D124" s="4">
        <v>6646</v>
      </c>
      <c r="E124" s="4">
        <v>6602</v>
      </c>
      <c r="F124" s="4">
        <v>3136</v>
      </c>
    </row>
    <row r="125" spans="1:6" ht="12.75">
      <c r="A125" s="28" t="s">
        <v>11</v>
      </c>
      <c r="B125" s="28" t="s">
        <v>144</v>
      </c>
      <c r="C125" s="4">
        <v>2264</v>
      </c>
      <c r="D125" s="4">
        <v>2016</v>
      </c>
      <c r="E125" s="4">
        <v>1847</v>
      </c>
      <c r="F125" s="4">
        <v>1656</v>
      </c>
    </row>
    <row r="126" spans="1:6" ht="12.75">
      <c r="A126" s="28" t="s">
        <v>12</v>
      </c>
      <c r="B126" s="28" t="s">
        <v>115</v>
      </c>
      <c r="C126" s="4">
        <v>0</v>
      </c>
      <c r="D126" s="4">
        <v>0</v>
      </c>
      <c r="E126" s="4">
        <v>299</v>
      </c>
      <c r="F126" s="4">
        <v>259</v>
      </c>
    </row>
    <row r="127" spans="1:6" ht="12.75">
      <c r="A127" s="28" t="s">
        <v>13</v>
      </c>
      <c r="B127" s="28" t="s">
        <v>145</v>
      </c>
      <c r="C127" s="4">
        <v>26197</v>
      </c>
      <c r="D127" s="4">
        <v>36299</v>
      </c>
      <c r="E127" s="4">
        <v>31324</v>
      </c>
      <c r="F127" s="4">
        <v>32414</v>
      </c>
    </row>
    <row r="128" spans="1:6" ht="12.75">
      <c r="A128" s="28" t="s">
        <v>89</v>
      </c>
      <c r="B128" s="28" t="s">
        <v>146</v>
      </c>
      <c r="C128" s="4">
        <v>398459</v>
      </c>
      <c r="D128" s="4">
        <v>182117</v>
      </c>
      <c r="E128" s="4">
        <v>190303</v>
      </c>
      <c r="F128" s="4">
        <v>176332</v>
      </c>
    </row>
    <row r="129" spans="1:6" ht="12.75">
      <c r="A129" s="28" t="s">
        <v>14</v>
      </c>
      <c r="B129" s="28" t="s">
        <v>116</v>
      </c>
      <c r="C129" s="4">
        <v>2099</v>
      </c>
      <c r="D129" s="4">
        <v>10174</v>
      </c>
      <c r="E129" s="4">
        <v>8406</v>
      </c>
      <c r="F129" s="4">
        <v>8064</v>
      </c>
    </row>
    <row r="130" spans="1:6" ht="12.75">
      <c r="A130" s="28" t="s">
        <v>90</v>
      </c>
      <c r="B130" s="28" t="s">
        <v>147</v>
      </c>
      <c r="C130" s="4">
        <v>667883</v>
      </c>
      <c r="D130" s="4">
        <v>610751</v>
      </c>
      <c r="E130" s="4">
        <v>624949</v>
      </c>
      <c r="F130" s="4">
        <v>630605</v>
      </c>
    </row>
    <row r="131" spans="1:6" ht="12.75">
      <c r="A131" s="28" t="s">
        <v>15</v>
      </c>
      <c r="B131" s="34" t="s">
        <v>148</v>
      </c>
      <c r="C131" s="4">
        <v>671033</v>
      </c>
      <c r="D131" s="4">
        <v>614401</v>
      </c>
      <c r="E131" s="4">
        <v>623862</v>
      </c>
      <c r="F131" s="4">
        <v>629341</v>
      </c>
    </row>
    <row r="132" spans="1:6" ht="12.75">
      <c r="A132" s="28" t="s">
        <v>16</v>
      </c>
      <c r="B132" s="28" t="s">
        <v>149</v>
      </c>
      <c r="C132" s="4">
        <v>674640</v>
      </c>
      <c r="D132" s="4">
        <v>616021</v>
      </c>
      <c r="E132" s="4">
        <v>624949</v>
      </c>
      <c r="F132" s="4">
        <v>630346</v>
      </c>
    </row>
    <row r="133" spans="1:6" ht="12.75">
      <c r="A133" s="28" t="s">
        <v>17</v>
      </c>
      <c r="B133" s="28" t="s">
        <v>150</v>
      </c>
      <c r="C133" s="4">
        <v>674640</v>
      </c>
      <c r="D133" s="4">
        <v>616021</v>
      </c>
      <c r="E133" s="4">
        <v>625248</v>
      </c>
      <c r="F133" s="4">
        <v>630605</v>
      </c>
    </row>
    <row r="134" spans="1:6" ht="12.75">
      <c r="A134" s="28" t="s">
        <v>18</v>
      </c>
      <c r="B134" s="28" t="s">
        <v>151</v>
      </c>
      <c r="C134" s="4">
        <v>674640</v>
      </c>
      <c r="D134" s="4">
        <v>616021</v>
      </c>
      <c r="E134" s="4">
        <v>634792</v>
      </c>
      <c r="F134" s="4">
        <v>640170</v>
      </c>
    </row>
    <row r="135" spans="1:6" ht="12.75">
      <c r="A135" s="28" t="s">
        <v>19</v>
      </c>
      <c r="B135" s="28" t="s">
        <v>117</v>
      </c>
      <c r="C135" s="4">
        <v>169</v>
      </c>
      <c r="D135" s="4">
        <v>504</v>
      </c>
      <c r="E135" s="4">
        <v>475</v>
      </c>
      <c r="F135" s="4">
        <v>403</v>
      </c>
    </row>
    <row r="136" spans="1:6" ht="12.75">
      <c r="A136" s="28" t="s">
        <v>91</v>
      </c>
      <c r="B136" s="28" t="s">
        <v>152</v>
      </c>
      <c r="C136" s="4">
        <v>739217</v>
      </c>
      <c r="D136" s="4">
        <v>777607</v>
      </c>
      <c r="E136" s="31">
        <v>777607</v>
      </c>
      <c r="F136" s="31">
        <v>777607</v>
      </c>
    </row>
    <row r="137" spans="1:6" ht="12.75">
      <c r="A137" s="28" t="s">
        <v>20</v>
      </c>
      <c r="B137" s="28" t="s">
        <v>118</v>
      </c>
      <c r="C137" s="4">
        <v>10937</v>
      </c>
      <c r="D137" s="4">
        <v>101038</v>
      </c>
      <c r="E137" s="4">
        <v>121385</v>
      </c>
      <c r="F137" s="4">
        <v>133139</v>
      </c>
    </row>
    <row r="138" spans="1:6" ht="12.75">
      <c r="A138" s="28" t="s">
        <v>21</v>
      </c>
      <c r="B138" s="28" t="s">
        <v>153</v>
      </c>
      <c r="C138" s="4">
        <v>738295</v>
      </c>
      <c r="D138" s="4">
        <v>775768</v>
      </c>
      <c r="E138" s="4">
        <v>800957</v>
      </c>
      <c r="F138" s="4">
        <v>806422</v>
      </c>
    </row>
    <row r="139" spans="1:6" ht="12.75">
      <c r="A139" s="28" t="s">
        <v>22</v>
      </c>
      <c r="B139" s="28" t="s">
        <v>154</v>
      </c>
      <c r="C139" s="4">
        <v>801857</v>
      </c>
      <c r="D139" s="4">
        <v>842530</v>
      </c>
      <c r="E139" s="4">
        <v>875635</v>
      </c>
      <c r="F139" s="4">
        <v>878000</v>
      </c>
    </row>
    <row r="140" spans="1:6" ht="12.75">
      <c r="A140" s="34" t="s">
        <v>23</v>
      </c>
      <c r="B140" s="28" t="s">
        <v>155</v>
      </c>
      <c r="C140" s="4">
        <v>821682</v>
      </c>
      <c r="D140" s="4">
        <v>854053</v>
      </c>
      <c r="E140" s="4">
        <v>892570</v>
      </c>
      <c r="F140" s="4">
        <v>891054</v>
      </c>
    </row>
    <row r="141" spans="1:6" ht="12.75">
      <c r="A141" s="28" t="s">
        <v>24</v>
      </c>
      <c r="B141" s="28" t="s">
        <v>119</v>
      </c>
      <c r="C141" s="4">
        <v>31270</v>
      </c>
      <c r="D141" s="4">
        <v>41713</v>
      </c>
      <c r="E141" s="4">
        <v>40428</v>
      </c>
      <c r="F141" s="4">
        <v>38833</v>
      </c>
    </row>
    <row r="142" spans="1:6" ht="12.75">
      <c r="A142" s="28" t="s">
        <v>25</v>
      </c>
      <c r="B142" s="28" t="s">
        <v>120</v>
      </c>
      <c r="C142" s="4">
        <v>74819</v>
      </c>
      <c r="D142" s="4">
        <v>53507</v>
      </c>
      <c r="E142" s="4">
        <v>79070</v>
      </c>
      <c r="F142" s="4">
        <v>65189</v>
      </c>
    </row>
    <row r="143" spans="1:6" ht="12.75">
      <c r="A143" s="28" t="s">
        <v>26</v>
      </c>
      <c r="B143" s="28" t="s">
        <v>121</v>
      </c>
      <c r="C143" s="4">
        <v>3150</v>
      </c>
      <c r="D143" s="4">
        <v>3650</v>
      </c>
      <c r="E143" s="4">
        <v>3236</v>
      </c>
      <c r="F143" s="4">
        <v>4720</v>
      </c>
    </row>
    <row r="144" spans="1:6" ht="12.75">
      <c r="A144" s="28" t="s">
        <v>27</v>
      </c>
      <c r="B144" s="28" t="s">
        <v>144</v>
      </c>
      <c r="C144" s="4">
        <v>2264</v>
      </c>
      <c r="D144" s="4">
        <v>2016</v>
      </c>
      <c r="E144" s="4">
        <v>1847</v>
      </c>
      <c r="F144" s="4">
        <v>1656</v>
      </c>
    </row>
    <row r="145" spans="1:6" ht="12.75">
      <c r="A145" s="28" t="s">
        <v>28</v>
      </c>
      <c r="B145" s="28" t="s">
        <v>122</v>
      </c>
      <c r="C145" s="4">
        <v>3503</v>
      </c>
      <c r="D145" s="4">
        <v>1793</v>
      </c>
      <c r="E145" s="4">
        <v>1192</v>
      </c>
      <c r="F145" s="4">
        <v>1375</v>
      </c>
    </row>
    <row r="146" spans="1:6" ht="12.75">
      <c r="A146" s="28" t="s">
        <v>29</v>
      </c>
      <c r="B146" s="28" t="s">
        <v>123</v>
      </c>
      <c r="C146" s="4">
        <v>763</v>
      </c>
      <c r="D146" s="4">
        <v>2084</v>
      </c>
      <c r="E146" s="4">
        <v>6570</v>
      </c>
      <c r="F146" s="4">
        <v>6772</v>
      </c>
    </row>
    <row r="147" spans="1:6" ht="12.75">
      <c r="A147" s="28" t="s">
        <v>30</v>
      </c>
      <c r="B147" s="28" t="s">
        <v>124</v>
      </c>
      <c r="C147" s="4">
        <v>4</v>
      </c>
      <c r="D147" s="4">
        <v>4</v>
      </c>
      <c r="E147" s="31">
        <v>4</v>
      </c>
      <c r="F147" s="31">
        <v>4</v>
      </c>
    </row>
    <row r="148" spans="1:6" ht="12.75">
      <c r="A148" s="28" t="s">
        <v>31</v>
      </c>
      <c r="B148" s="28" t="s">
        <v>125</v>
      </c>
      <c r="C148" s="4">
        <v>74941</v>
      </c>
      <c r="D148" s="4">
        <v>133920</v>
      </c>
      <c r="E148" s="4">
        <v>66287</v>
      </c>
      <c r="F148" s="4">
        <v>64386</v>
      </c>
    </row>
    <row r="149" spans="1:6" ht="12.75">
      <c r="A149" s="28" t="s">
        <v>32</v>
      </c>
      <c r="B149" s="28" t="s">
        <v>126</v>
      </c>
      <c r="C149" s="4">
        <v>536</v>
      </c>
      <c r="D149" s="4">
        <v>389</v>
      </c>
      <c r="E149" s="4">
        <v>2210</v>
      </c>
      <c r="F149" s="4">
        <v>1620</v>
      </c>
    </row>
    <row r="150" spans="1:6" ht="12.75">
      <c r="A150" s="28" t="s">
        <v>92</v>
      </c>
      <c r="B150" s="28" t="s">
        <v>156</v>
      </c>
      <c r="C150" s="4">
        <v>1872</v>
      </c>
      <c r="D150" s="4">
        <v>842</v>
      </c>
      <c r="E150" s="4">
        <v>1436</v>
      </c>
      <c r="F150" s="4">
        <v>1519</v>
      </c>
    </row>
    <row r="151" spans="1:6" ht="12.75">
      <c r="A151" s="28" t="s">
        <v>33</v>
      </c>
      <c r="B151" s="28" t="s">
        <v>127</v>
      </c>
      <c r="C151" s="4">
        <v>392</v>
      </c>
      <c r="D151" s="4">
        <v>122</v>
      </c>
      <c r="E151" s="4">
        <v>241</v>
      </c>
      <c r="F151" s="4">
        <v>220</v>
      </c>
    </row>
    <row r="152" spans="1:6" ht="12.75">
      <c r="A152" s="28" t="s">
        <v>34</v>
      </c>
      <c r="B152" s="28" t="s">
        <v>128</v>
      </c>
      <c r="C152" s="4"/>
      <c r="D152" s="4"/>
      <c r="E152" s="4"/>
      <c r="F152" s="4"/>
    </row>
    <row r="153" spans="1:6" ht="12.75">
      <c r="A153" s="28" t="s">
        <v>35</v>
      </c>
      <c r="B153" s="28" t="s">
        <v>129</v>
      </c>
      <c r="C153" s="4">
        <v>44071</v>
      </c>
      <c r="D153" s="4">
        <v>49284</v>
      </c>
      <c r="E153" s="4">
        <v>57168</v>
      </c>
      <c r="F153" s="4">
        <v>79020</v>
      </c>
    </row>
    <row r="154" spans="1:6" ht="12.75">
      <c r="A154" s="28" t="s">
        <v>36</v>
      </c>
      <c r="B154" s="28" t="s">
        <v>157</v>
      </c>
      <c r="C154" s="4">
        <v>63562</v>
      </c>
      <c r="D154" s="4">
        <v>66762</v>
      </c>
      <c r="E154" s="4">
        <v>74678</v>
      </c>
      <c r="F154" s="4">
        <v>71579</v>
      </c>
    </row>
    <row r="155" spans="1:6" ht="12.75">
      <c r="A155" s="28" t="s">
        <v>37</v>
      </c>
      <c r="B155" s="28" t="s">
        <v>130</v>
      </c>
      <c r="C155" s="4">
        <v>918</v>
      </c>
      <c r="D155" s="4">
        <v>1836</v>
      </c>
      <c r="E155" s="4">
        <v>3190</v>
      </c>
      <c r="F155" s="4">
        <v>3038</v>
      </c>
    </row>
    <row r="156" spans="1:6" ht="12.75">
      <c r="A156" s="28" t="s">
        <v>38</v>
      </c>
      <c r="B156" s="28" t="s">
        <v>131</v>
      </c>
      <c r="C156" s="4">
        <v>29156</v>
      </c>
      <c r="D156" s="4">
        <v>26035</v>
      </c>
      <c r="E156" s="4">
        <v>28307</v>
      </c>
      <c r="F156" s="4">
        <v>24718</v>
      </c>
    </row>
    <row r="157" spans="1:6" ht="12.75">
      <c r="A157" s="28" t="s">
        <v>39</v>
      </c>
      <c r="B157" s="28" t="s">
        <v>132</v>
      </c>
      <c r="C157" s="4">
        <v>5069</v>
      </c>
      <c r="D157" s="4">
        <v>17179</v>
      </c>
      <c r="E157" s="4">
        <v>22943</v>
      </c>
      <c r="F157" s="4">
        <v>21701</v>
      </c>
    </row>
    <row r="158" spans="1:6" ht="12.75">
      <c r="A158" s="28" t="s">
        <v>40</v>
      </c>
      <c r="B158" s="28" t="s">
        <v>133</v>
      </c>
      <c r="C158" s="4">
        <v>5850</v>
      </c>
      <c r="D158" s="4">
        <v>4878</v>
      </c>
      <c r="E158" s="4">
        <v>10332</v>
      </c>
      <c r="F158" s="4">
        <v>9918</v>
      </c>
    </row>
    <row r="159" spans="1:6" ht="12.75">
      <c r="A159" s="28" t="s">
        <v>41</v>
      </c>
      <c r="B159" s="28" t="s">
        <v>134</v>
      </c>
      <c r="C159" s="4">
        <v>9886</v>
      </c>
      <c r="D159" s="4">
        <v>15505</v>
      </c>
      <c r="E159" s="4">
        <v>21499</v>
      </c>
      <c r="F159" s="4">
        <v>23242</v>
      </c>
    </row>
    <row r="160" spans="1:6" ht="12.75">
      <c r="A160" s="28" t="s">
        <v>42</v>
      </c>
      <c r="B160" s="28" t="s">
        <v>135</v>
      </c>
      <c r="C160" s="4">
        <v>3607</v>
      </c>
      <c r="D160" s="4">
        <v>1620</v>
      </c>
      <c r="E160" s="4">
        <v>1087</v>
      </c>
      <c r="F160" s="4">
        <v>1004</v>
      </c>
    </row>
    <row r="161" spans="1:6" ht="12.75">
      <c r="A161" s="28" t="s">
        <v>43</v>
      </c>
      <c r="B161" s="28" t="s">
        <v>136</v>
      </c>
      <c r="C161" s="4">
        <v>0</v>
      </c>
      <c r="D161" s="4">
        <v>0</v>
      </c>
      <c r="E161" s="4">
        <v>9544</v>
      </c>
      <c r="F161" s="4">
        <v>9565</v>
      </c>
    </row>
    <row r="162" spans="1:6" ht="12.75">
      <c r="A162" s="28" t="s">
        <v>44</v>
      </c>
      <c r="B162" s="28" t="s">
        <v>137</v>
      </c>
      <c r="C162" s="4">
        <v>12064</v>
      </c>
      <c r="D162" s="4">
        <v>57222</v>
      </c>
      <c r="E162" s="4">
        <v>51872</v>
      </c>
      <c r="F162" s="4">
        <v>53899</v>
      </c>
    </row>
    <row r="163" spans="1:6" ht="12.75">
      <c r="A163" s="28" t="s">
        <v>45</v>
      </c>
      <c r="B163" s="28" t="s">
        <v>158</v>
      </c>
      <c r="C163" s="4">
        <v>55278</v>
      </c>
      <c r="D163" s="4">
        <v>135688</v>
      </c>
      <c r="E163" s="4">
        <v>147190</v>
      </c>
      <c r="F163" s="4">
        <v>145775</v>
      </c>
    </row>
    <row r="166" spans="1:2" ht="18">
      <c r="A166" s="33" t="s">
        <v>163</v>
      </c>
      <c r="B166" s="33"/>
    </row>
    <row r="167" ht="12.75">
      <c r="A167" s="32" t="s">
        <v>0</v>
      </c>
    </row>
    <row r="168" spans="1:4" ht="12.75">
      <c r="A168" s="32" t="s">
        <v>1</v>
      </c>
      <c r="C168" s="2" t="s">
        <v>166</v>
      </c>
      <c r="D168" s="2"/>
    </row>
    <row r="170" spans="1:3" ht="12.75">
      <c r="A170" s="32" t="s">
        <v>2</v>
      </c>
      <c r="C170" t="s">
        <v>3</v>
      </c>
    </row>
    <row r="171" spans="1:4" ht="12.75">
      <c r="A171" s="32" t="s">
        <v>4</v>
      </c>
      <c r="C171" s="15" t="s">
        <v>98</v>
      </c>
      <c r="D171" s="15"/>
    </row>
    <row r="172" spans="1:3" ht="12.75">
      <c r="A172" s="32" t="s">
        <v>5</v>
      </c>
      <c r="C172" t="s">
        <v>96</v>
      </c>
    </row>
    <row r="173" spans="1:3" ht="12.75">
      <c r="A173" s="32" t="s">
        <v>6</v>
      </c>
      <c r="C173" t="s">
        <v>99</v>
      </c>
    </row>
    <row r="176" spans="1:6" ht="12.75">
      <c r="A176" s="28" t="s">
        <v>7</v>
      </c>
      <c r="B176" s="28"/>
      <c r="C176" s="3">
        <v>1990</v>
      </c>
      <c r="D176" s="3">
        <v>2000</v>
      </c>
      <c r="E176" s="3">
        <v>2007</v>
      </c>
      <c r="F176" s="3">
        <v>2008</v>
      </c>
    </row>
    <row r="177" spans="1:6" ht="12.75">
      <c r="A177" s="28" t="s">
        <v>8</v>
      </c>
      <c r="B177" s="28" t="s">
        <v>112</v>
      </c>
      <c r="C177" s="4">
        <v>50294</v>
      </c>
      <c r="D177" s="4">
        <v>61517</v>
      </c>
      <c r="E177" s="4">
        <v>64769</v>
      </c>
      <c r="F177" s="4">
        <v>67101</v>
      </c>
    </row>
    <row r="178" spans="1:6" ht="12.75">
      <c r="A178" s="28" t="s">
        <v>9</v>
      </c>
      <c r="B178" s="28" t="s">
        <v>113</v>
      </c>
      <c r="C178" s="4">
        <v>70845</v>
      </c>
      <c r="D178" s="4">
        <v>83894</v>
      </c>
      <c r="E178" s="4">
        <v>88820</v>
      </c>
      <c r="F178" s="4">
        <v>84929</v>
      </c>
    </row>
    <row r="179" spans="1:6" ht="12.75">
      <c r="A179" s="28" t="s">
        <v>10</v>
      </c>
      <c r="B179" s="28" t="s">
        <v>114</v>
      </c>
      <c r="C179" s="4">
        <v>42141</v>
      </c>
      <c r="D179" s="4">
        <v>40924</v>
      </c>
      <c r="E179" s="4">
        <v>43297</v>
      </c>
      <c r="F179" s="4">
        <v>45037</v>
      </c>
    </row>
    <row r="180" spans="1:6" ht="12.75">
      <c r="A180" s="28" t="s">
        <v>11</v>
      </c>
      <c r="B180" s="28" t="s">
        <v>144</v>
      </c>
      <c r="C180" s="4">
        <v>8693</v>
      </c>
      <c r="D180" s="4">
        <v>10702</v>
      </c>
      <c r="E180" s="4">
        <v>12245</v>
      </c>
      <c r="F180" s="4">
        <v>12326</v>
      </c>
    </row>
    <row r="181" spans="1:6" ht="12.75">
      <c r="A181" s="28" t="s">
        <v>12</v>
      </c>
      <c r="B181" s="28" t="s">
        <v>115</v>
      </c>
      <c r="C181" s="4">
        <v>1974</v>
      </c>
      <c r="D181" s="4">
        <v>3370</v>
      </c>
      <c r="E181" s="4">
        <v>4871</v>
      </c>
      <c r="F181" s="4">
        <v>5079</v>
      </c>
    </row>
    <row r="182" spans="1:6" ht="12.75">
      <c r="A182" s="28" t="s">
        <v>13</v>
      </c>
      <c r="B182" s="28" t="s">
        <v>145</v>
      </c>
      <c r="C182" s="4">
        <v>62559</v>
      </c>
      <c r="D182" s="4">
        <v>73466</v>
      </c>
      <c r="E182" s="4">
        <v>88198</v>
      </c>
      <c r="F182" s="4">
        <v>83518</v>
      </c>
    </row>
    <row r="183" spans="1:6" ht="12.75">
      <c r="A183" s="28" t="s">
        <v>89</v>
      </c>
      <c r="B183" s="28" t="s">
        <v>146</v>
      </c>
      <c r="C183" s="4">
        <v>549944</v>
      </c>
      <c r="D183" s="4">
        <v>571551</v>
      </c>
      <c r="E183" s="4">
        <v>637099</v>
      </c>
      <c r="F183" s="4">
        <v>637214</v>
      </c>
    </row>
    <row r="184" spans="1:6" ht="12.75">
      <c r="A184" s="28" t="s">
        <v>14</v>
      </c>
      <c r="B184" s="28" t="s">
        <v>116</v>
      </c>
      <c r="C184" s="4">
        <v>25977</v>
      </c>
      <c r="D184" s="4">
        <v>36049</v>
      </c>
      <c r="E184" s="4">
        <v>39156</v>
      </c>
      <c r="F184" s="4">
        <v>36391</v>
      </c>
    </row>
    <row r="185" spans="1:6" ht="12.75">
      <c r="A185" s="28" t="s">
        <v>90</v>
      </c>
      <c r="B185" s="28" t="s">
        <v>147</v>
      </c>
      <c r="C185" s="4">
        <v>1631256</v>
      </c>
      <c r="D185" s="4">
        <v>1988023</v>
      </c>
      <c r="E185" s="4">
        <v>2323900</v>
      </c>
      <c r="F185" s="4">
        <v>2349948</v>
      </c>
    </row>
    <row r="186" spans="1:6" ht="12.75">
      <c r="A186" s="28" t="s">
        <v>15</v>
      </c>
      <c r="B186" s="34" t="s">
        <v>148</v>
      </c>
      <c r="C186" s="4">
        <v>1666258</v>
      </c>
      <c r="D186" s="4">
        <v>2041866</v>
      </c>
      <c r="E186" s="4">
        <v>2308857</v>
      </c>
      <c r="F186" s="4">
        <v>2326194</v>
      </c>
    </row>
    <row r="187" spans="1:6" ht="12.75">
      <c r="A187" s="28" t="s">
        <v>16</v>
      </c>
      <c r="B187" s="28" t="s">
        <v>149</v>
      </c>
      <c r="C187" s="4">
        <v>1678700</v>
      </c>
      <c r="D187" s="4">
        <v>2055490</v>
      </c>
      <c r="E187" s="4">
        <v>2323900</v>
      </c>
      <c r="F187" s="4">
        <v>2342593</v>
      </c>
    </row>
    <row r="188" spans="1:6" ht="12.75">
      <c r="A188" s="28" t="s">
        <v>17</v>
      </c>
      <c r="B188" s="28" t="s">
        <v>150</v>
      </c>
      <c r="C188" s="4">
        <v>1681774</v>
      </c>
      <c r="D188" s="4">
        <v>2060777</v>
      </c>
      <c r="E188" s="4">
        <v>2331067</v>
      </c>
      <c r="F188" s="4">
        <v>2349948</v>
      </c>
    </row>
    <row r="189" spans="1:6" ht="12.75">
      <c r="A189" s="28" t="s">
        <v>18</v>
      </c>
      <c r="B189" s="28" t="s">
        <v>151</v>
      </c>
      <c r="C189" s="4">
        <v>1705841</v>
      </c>
      <c r="D189" s="4">
        <v>2091462</v>
      </c>
      <c r="E189" s="4">
        <v>2359123</v>
      </c>
      <c r="F189" s="4">
        <v>2378910</v>
      </c>
    </row>
    <row r="190" spans="1:6" ht="12.75">
      <c r="A190" s="28" t="s">
        <v>19</v>
      </c>
      <c r="B190" s="28" t="s">
        <v>117</v>
      </c>
      <c r="C190" s="4">
        <v>17181</v>
      </c>
      <c r="D190" s="4">
        <v>8513</v>
      </c>
      <c r="E190" s="4">
        <v>12190</v>
      </c>
      <c r="F190" s="4">
        <v>10581</v>
      </c>
    </row>
    <row r="191" spans="1:6" ht="12.75">
      <c r="A191" s="28" t="s">
        <v>91</v>
      </c>
      <c r="B191" s="28" t="s">
        <v>152</v>
      </c>
      <c r="C191" s="4">
        <v>2284473</v>
      </c>
      <c r="D191" s="4">
        <v>2748333</v>
      </c>
      <c r="E191" s="31">
        <v>2748333</v>
      </c>
      <c r="F191" s="31">
        <v>2748333</v>
      </c>
    </row>
    <row r="192" spans="1:6" ht="12.75">
      <c r="A192" s="28" t="s">
        <v>20</v>
      </c>
      <c r="B192" s="28" t="s">
        <v>118</v>
      </c>
      <c r="C192" s="4">
        <v>151838</v>
      </c>
      <c r="D192" s="4">
        <v>225153</v>
      </c>
      <c r="E192" s="4">
        <v>305053</v>
      </c>
      <c r="F192" s="4">
        <v>313746</v>
      </c>
    </row>
    <row r="193" spans="1:6" ht="12.75">
      <c r="A193" s="28" t="s">
        <v>21</v>
      </c>
      <c r="B193" s="28" t="s">
        <v>153</v>
      </c>
      <c r="C193" s="4">
        <v>2158115</v>
      </c>
      <c r="D193" s="4">
        <v>2600570</v>
      </c>
      <c r="E193" s="4">
        <v>2893983</v>
      </c>
      <c r="F193" s="4">
        <v>2901987</v>
      </c>
    </row>
    <row r="194" spans="1:6" ht="12.75">
      <c r="A194" s="28" t="s">
        <v>22</v>
      </c>
      <c r="B194" s="28" t="s">
        <v>154</v>
      </c>
      <c r="C194" s="4">
        <v>2477272</v>
      </c>
      <c r="D194" s="4">
        <v>2928080</v>
      </c>
      <c r="E194" s="4">
        <v>3262722</v>
      </c>
      <c r="F194" s="4">
        <v>3264190</v>
      </c>
    </row>
    <row r="195" spans="1:6" ht="12.75">
      <c r="A195" s="28" t="s">
        <v>23</v>
      </c>
      <c r="B195" s="28" t="s">
        <v>155</v>
      </c>
      <c r="C195" s="4">
        <v>2583722</v>
      </c>
      <c r="D195" s="4">
        <v>3020938</v>
      </c>
      <c r="E195" s="4">
        <v>3367692</v>
      </c>
      <c r="F195" s="4">
        <v>3374182</v>
      </c>
    </row>
    <row r="196" spans="1:6" ht="12.75">
      <c r="A196" s="28" t="s">
        <v>24</v>
      </c>
      <c r="B196" s="28" t="s">
        <v>119</v>
      </c>
      <c r="C196" s="4">
        <v>54364</v>
      </c>
      <c r="D196" s="4">
        <v>69989</v>
      </c>
      <c r="E196" s="4">
        <v>81246</v>
      </c>
      <c r="F196" s="4">
        <v>77436</v>
      </c>
    </row>
    <row r="197" spans="1:6" ht="12.75">
      <c r="A197" s="28" t="s">
        <v>25</v>
      </c>
      <c r="B197" s="28" t="s">
        <v>120</v>
      </c>
      <c r="C197" s="4">
        <v>420744</v>
      </c>
      <c r="D197" s="4">
        <v>540734</v>
      </c>
      <c r="E197" s="4">
        <v>569841</v>
      </c>
      <c r="F197" s="4">
        <v>576034</v>
      </c>
    </row>
    <row r="198" spans="1:6" ht="12.75">
      <c r="A198" s="28" t="s">
        <v>26</v>
      </c>
      <c r="B198" s="28" t="s">
        <v>121</v>
      </c>
      <c r="C198" s="4">
        <v>35002</v>
      </c>
      <c r="D198" s="4">
        <v>53843</v>
      </c>
      <c r="E198" s="4">
        <v>63497</v>
      </c>
      <c r="F198" s="4">
        <v>63749</v>
      </c>
    </row>
    <row r="199" spans="1:6" ht="12.75">
      <c r="A199" s="28" t="s">
        <v>27</v>
      </c>
      <c r="B199" s="28" t="s">
        <v>144</v>
      </c>
      <c r="C199" s="4">
        <v>8693</v>
      </c>
      <c r="D199" s="4">
        <v>10702</v>
      </c>
      <c r="E199" s="4">
        <v>12245</v>
      </c>
      <c r="F199" s="4">
        <v>12326</v>
      </c>
    </row>
    <row r="200" spans="1:6" ht="12.75">
      <c r="A200" s="28" t="s">
        <v>28</v>
      </c>
      <c r="B200" s="28" t="s">
        <v>122</v>
      </c>
      <c r="C200" s="4">
        <v>28470</v>
      </c>
      <c r="D200" s="4">
        <v>35191</v>
      </c>
      <c r="E200" s="4">
        <v>39959</v>
      </c>
      <c r="F200" s="4">
        <v>40025</v>
      </c>
    </row>
    <row r="201" spans="1:6" ht="12.75">
      <c r="A201" s="28" t="s">
        <v>29</v>
      </c>
      <c r="B201" s="28" t="s">
        <v>123</v>
      </c>
      <c r="C201" s="4">
        <v>14521</v>
      </c>
      <c r="D201" s="4">
        <v>24003</v>
      </c>
      <c r="E201" s="4">
        <v>28226</v>
      </c>
      <c r="F201" s="4">
        <v>29685</v>
      </c>
    </row>
    <row r="202" spans="1:6" ht="12.75">
      <c r="A202" s="28" t="s">
        <v>30</v>
      </c>
      <c r="B202" s="28" t="s">
        <v>124</v>
      </c>
      <c r="C202" s="4">
        <v>4510</v>
      </c>
      <c r="D202" s="4">
        <v>7684</v>
      </c>
      <c r="E202" s="31">
        <v>7684</v>
      </c>
      <c r="F202" s="31">
        <v>7684</v>
      </c>
    </row>
    <row r="203" spans="1:6" ht="12.75">
      <c r="A203" s="28" t="s">
        <v>31</v>
      </c>
      <c r="B203" s="28" t="s">
        <v>125</v>
      </c>
      <c r="C203" s="4">
        <v>216890</v>
      </c>
      <c r="D203" s="4">
        <v>276611</v>
      </c>
      <c r="E203" s="4">
        <v>313887</v>
      </c>
      <c r="F203" s="4">
        <v>319129</v>
      </c>
    </row>
    <row r="204" spans="1:6" ht="12.75">
      <c r="A204" s="28" t="s">
        <v>32</v>
      </c>
      <c r="B204" s="28" t="s">
        <v>126</v>
      </c>
      <c r="C204" s="4">
        <v>28405</v>
      </c>
      <c r="D204" s="4">
        <v>11424</v>
      </c>
      <c r="E204" s="4">
        <v>14007</v>
      </c>
      <c r="F204" s="4">
        <v>13912</v>
      </c>
    </row>
    <row r="205" spans="1:6" ht="12.75">
      <c r="A205" s="28" t="s">
        <v>92</v>
      </c>
      <c r="B205" s="28" t="s">
        <v>156</v>
      </c>
      <c r="C205" s="4">
        <v>1377</v>
      </c>
      <c r="D205" s="4">
        <v>1175</v>
      </c>
      <c r="E205" s="4">
        <v>4002</v>
      </c>
      <c r="F205" s="4">
        <v>3557</v>
      </c>
    </row>
    <row r="206" spans="1:6" ht="12.75">
      <c r="A206" s="28" t="s">
        <v>33</v>
      </c>
      <c r="B206" s="28" t="s">
        <v>127</v>
      </c>
      <c r="C206" s="4">
        <v>6648</v>
      </c>
      <c r="D206" s="4">
        <v>4136</v>
      </c>
      <c r="E206" s="4">
        <v>4771</v>
      </c>
      <c r="F206" s="4">
        <v>5274</v>
      </c>
    </row>
    <row r="207" spans="1:6" ht="12.75">
      <c r="A207" s="28" t="s">
        <v>34</v>
      </c>
      <c r="B207" s="28" t="s">
        <v>128</v>
      </c>
      <c r="C207" s="4">
        <v>1100</v>
      </c>
      <c r="D207" s="4">
        <v>1917</v>
      </c>
      <c r="E207" s="4">
        <v>2296</v>
      </c>
      <c r="F207" s="4">
        <v>2276</v>
      </c>
    </row>
    <row r="208" spans="1:6" ht="12.75">
      <c r="A208" s="28" t="s">
        <v>35</v>
      </c>
      <c r="B208" s="28" t="s">
        <v>129</v>
      </c>
      <c r="C208" s="4">
        <v>71938</v>
      </c>
      <c r="D208" s="4">
        <v>89631</v>
      </c>
      <c r="E208" s="4">
        <v>105164</v>
      </c>
      <c r="F208" s="4">
        <v>107645</v>
      </c>
    </row>
    <row r="209" spans="1:6" ht="12.75">
      <c r="A209" s="28" t="s">
        <v>36</v>
      </c>
      <c r="B209" s="28" t="s">
        <v>157</v>
      </c>
      <c r="C209" s="4">
        <v>319157</v>
      </c>
      <c r="D209" s="4">
        <v>327510</v>
      </c>
      <c r="E209" s="4">
        <v>368739</v>
      </c>
      <c r="F209" s="4">
        <v>362203</v>
      </c>
    </row>
    <row r="210" spans="1:6" ht="12.75">
      <c r="A210" s="28" t="s">
        <v>37</v>
      </c>
      <c r="B210" s="28" t="s">
        <v>130</v>
      </c>
      <c r="C210" s="4">
        <v>121848</v>
      </c>
      <c r="D210" s="4">
        <v>140079</v>
      </c>
      <c r="E210" s="4">
        <v>137192</v>
      </c>
      <c r="F210" s="4">
        <v>142669</v>
      </c>
    </row>
    <row r="211" spans="1:6" ht="12.75">
      <c r="A211" s="28" t="s">
        <v>38</v>
      </c>
      <c r="B211" s="28" t="s">
        <v>131</v>
      </c>
      <c r="C211" s="4">
        <v>136311</v>
      </c>
      <c r="D211" s="4">
        <v>145184</v>
      </c>
      <c r="E211" s="4">
        <v>159348</v>
      </c>
      <c r="F211" s="4">
        <v>156177</v>
      </c>
    </row>
    <row r="212" spans="1:6" ht="12.75">
      <c r="A212" s="28" t="s">
        <v>39</v>
      </c>
      <c r="B212" s="28" t="s">
        <v>132</v>
      </c>
      <c r="C212" s="4">
        <v>28501</v>
      </c>
      <c r="D212" s="4">
        <v>43765</v>
      </c>
      <c r="E212" s="4">
        <v>47253</v>
      </c>
      <c r="F212" s="4">
        <v>45969</v>
      </c>
    </row>
    <row r="213" spans="1:6" ht="12.75">
      <c r="A213" s="28" t="s">
        <v>40</v>
      </c>
      <c r="B213" s="28" t="s">
        <v>133</v>
      </c>
      <c r="C213" s="4">
        <v>64309</v>
      </c>
      <c r="D213" s="4">
        <v>51934</v>
      </c>
      <c r="E213" s="4">
        <v>61673</v>
      </c>
      <c r="F213" s="4">
        <v>64955</v>
      </c>
    </row>
    <row r="214" spans="1:6" ht="12.75">
      <c r="A214" s="28" t="s">
        <v>41</v>
      </c>
      <c r="B214" s="28" t="s">
        <v>134</v>
      </c>
      <c r="C214" s="4">
        <v>146917</v>
      </c>
      <c r="D214" s="4">
        <v>145586</v>
      </c>
      <c r="E214" s="4">
        <v>148926</v>
      </c>
      <c r="F214" s="4">
        <v>150036</v>
      </c>
    </row>
    <row r="215" spans="1:6" ht="12.75">
      <c r="A215" s="28" t="s">
        <v>42</v>
      </c>
      <c r="B215" s="28" t="s">
        <v>135</v>
      </c>
      <c r="C215" s="4">
        <v>12442</v>
      </c>
      <c r="D215" s="4">
        <v>13624</v>
      </c>
      <c r="E215" s="4">
        <v>15043</v>
      </c>
      <c r="F215" s="4">
        <v>16399</v>
      </c>
    </row>
    <row r="216" spans="1:6" ht="12.75">
      <c r="A216" s="28" t="s">
        <v>43</v>
      </c>
      <c r="B216" s="28" t="s">
        <v>136</v>
      </c>
      <c r="C216" s="4">
        <v>24067</v>
      </c>
      <c r="D216" s="4">
        <v>30685</v>
      </c>
      <c r="E216" s="4">
        <v>28056</v>
      </c>
      <c r="F216" s="4">
        <v>28962</v>
      </c>
    </row>
    <row r="217" spans="1:6" ht="12.75">
      <c r="A217" s="28" t="s">
        <v>44</v>
      </c>
      <c r="B217" s="28" t="s">
        <v>137</v>
      </c>
      <c r="C217" s="4">
        <v>57543</v>
      </c>
      <c r="D217" s="4">
        <v>124922</v>
      </c>
      <c r="E217" s="4">
        <v>191558</v>
      </c>
      <c r="F217" s="4">
        <v>198418</v>
      </c>
    </row>
    <row r="218" spans="1:6" ht="12.75">
      <c r="A218" s="28" t="s">
        <v>45</v>
      </c>
      <c r="B218" s="28" t="s">
        <v>158</v>
      </c>
      <c r="C218" s="4">
        <v>318963</v>
      </c>
      <c r="D218" s="4">
        <v>377069</v>
      </c>
      <c r="E218" s="4">
        <v>397044</v>
      </c>
      <c r="F218" s="4">
        <v>389366</v>
      </c>
    </row>
    <row r="221" spans="1:2" ht="18">
      <c r="A221" s="33" t="s">
        <v>163</v>
      </c>
      <c r="B221" s="33"/>
    </row>
    <row r="222" ht="12.75">
      <c r="A222" s="32" t="s">
        <v>0</v>
      </c>
    </row>
    <row r="223" spans="1:4" ht="12.75">
      <c r="A223" s="32" t="s">
        <v>1</v>
      </c>
      <c r="C223" s="2" t="s">
        <v>167</v>
      </c>
      <c r="D223" s="2"/>
    </row>
    <row r="225" spans="1:3" ht="12.75">
      <c r="A225" s="32" t="s">
        <v>2</v>
      </c>
      <c r="C225" t="s">
        <v>3</v>
      </c>
    </row>
    <row r="226" spans="1:4" ht="12.75">
      <c r="A226" s="32" t="s">
        <v>4</v>
      </c>
      <c r="C226" s="15" t="s">
        <v>100</v>
      </c>
      <c r="D226" s="15"/>
    </row>
    <row r="227" spans="1:3" ht="12.75">
      <c r="A227" s="32" t="s">
        <v>5</v>
      </c>
      <c r="C227" t="s">
        <v>96</v>
      </c>
    </row>
    <row r="228" spans="1:3" ht="12.75">
      <c r="A228" s="32" t="s">
        <v>6</v>
      </c>
      <c r="C228" t="s">
        <v>99</v>
      </c>
    </row>
    <row r="231" spans="1:6" ht="12.75">
      <c r="A231" s="28" t="s">
        <v>7</v>
      </c>
      <c r="B231" s="28"/>
      <c r="C231" s="3">
        <v>1990</v>
      </c>
      <c r="D231" s="3">
        <v>2000</v>
      </c>
      <c r="E231" s="3">
        <v>2007</v>
      </c>
      <c r="F231" s="3">
        <v>2008</v>
      </c>
    </row>
    <row r="232" spans="1:6" ht="12.75">
      <c r="A232" s="28" t="s">
        <v>8</v>
      </c>
      <c r="B232" s="28" t="s">
        <v>112</v>
      </c>
      <c r="C232" s="4">
        <v>1066</v>
      </c>
      <c r="D232" s="4">
        <v>1660</v>
      </c>
      <c r="E232" s="4">
        <v>4473</v>
      </c>
      <c r="F232" s="4">
        <v>4628</v>
      </c>
    </row>
    <row r="233" spans="1:6" ht="12.75">
      <c r="A233" s="28" t="s">
        <v>9</v>
      </c>
      <c r="B233" s="28" t="s">
        <v>113</v>
      </c>
      <c r="C233" s="4">
        <v>492</v>
      </c>
      <c r="D233" s="4">
        <v>860</v>
      </c>
      <c r="E233" s="4">
        <v>3107</v>
      </c>
      <c r="F233" s="4">
        <v>3987</v>
      </c>
    </row>
    <row r="234" spans="1:6" ht="12.75">
      <c r="A234" s="28" t="s">
        <v>10</v>
      </c>
      <c r="B234" s="28" t="s">
        <v>114</v>
      </c>
      <c r="C234" s="4">
        <v>0</v>
      </c>
      <c r="D234" s="4">
        <v>15</v>
      </c>
      <c r="E234" s="4">
        <v>0</v>
      </c>
      <c r="F234" s="4">
        <v>0</v>
      </c>
    </row>
    <row r="235" spans="1:6" ht="12.75">
      <c r="A235" s="28" t="s">
        <v>11</v>
      </c>
      <c r="B235" s="28" t="s">
        <v>144</v>
      </c>
      <c r="C235" s="4">
        <v>0</v>
      </c>
      <c r="D235" s="4">
        <v>1</v>
      </c>
      <c r="E235" s="4">
        <v>7</v>
      </c>
      <c r="F235" s="4">
        <v>21</v>
      </c>
    </row>
    <row r="236" spans="1:6" ht="12.75">
      <c r="A236" s="28" t="s">
        <v>12</v>
      </c>
      <c r="B236" s="28" t="s">
        <v>115</v>
      </c>
      <c r="C236" s="4">
        <v>0</v>
      </c>
      <c r="D236" s="4">
        <v>0</v>
      </c>
      <c r="E236" s="4">
        <v>1</v>
      </c>
      <c r="F236" s="4">
        <v>12</v>
      </c>
    </row>
    <row r="237" spans="1:6" ht="12.75">
      <c r="A237" s="28" t="s">
        <v>13</v>
      </c>
      <c r="B237" s="28" t="s">
        <v>145</v>
      </c>
      <c r="C237" s="4">
        <v>0</v>
      </c>
      <c r="D237" s="4">
        <v>522</v>
      </c>
      <c r="E237" s="4">
        <v>1203</v>
      </c>
      <c r="F237" s="4">
        <v>1457</v>
      </c>
    </row>
    <row r="238" spans="1:6" ht="12.75">
      <c r="A238" s="28" t="s">
        <v>89</v>
      </c>
      <c r="B238" s="28" t="s">
        <v>146</v>
      </c>
      <c r="C238" s="4">
        <v>3264</v>
      </c>
      <c r="D238" s="4">
        <v>6175</v>
      </c>
      <c r="E238" s="4">
        <v>28391</v>
      </c>
      <c r="F238" s="4">
        <v>28862</v>
      </c>
    </row>
    <row r="239" spans="1:6" ht="12.75">
      <c r="A239" s="28" t="s">
        <v>14</v>
      </c>
      <c r="B239" s="28" t="s">
        <v>116</v>
      </c>
      <c r="C239" s="4">
        <v>210</v>
      </c>
      <c r="D239" s="4">
        <v>1859</v>
      </c>
      <c r="E239" s="4">
        <v>3860</v>
      </c>
      <c r="F239" s="4">
        <v>3917</v>
      </c>
    </row>
    <row r="240" spans="1:6" ht="12.75">
      <c r="A240" s="28" t="s">
        <v>90</v>
      </c>
      <c r="B240" s="28" t="s">
        <v>147</v>
      </c>
      <c r="C240" s="4">
        <v>13999</v>
      </c>
      <c r="D240" s="4">
        <v>29184</v>
      </c>
      <c r="E240" s="4">
        <v>70194</v>
      </c>
      <c r="F240" s="4">
        <v>75034</v>
      </c>
    </row>
    <row r="241" spans="1:6" ht="12.75">
      <c r="A241" s="28" t="s">
        <v>15</v>
      </c>
      <c r="B241" s="34" t="s">
        <v>148</v>
      </c>
      <c r="C241" s="4">
        <v>13999</v>
      </c>
      <c r="D241" s="4">
        <v>29184</v>
      </c>
      <c r="E241" s="4">
        <v>70081</v>
      </c>
      <c r="F241" s="4">
        <v>74734</v>
      </c>
    </row>
    <row r="242" spans="1:6" ht="12.75">
      <c r="A242" s="28" t="s">
        <v>16</v>
      </c>
      <c r="B242" s="28" t="s">
        <v>149</v>
      </c>
      <c r="C242" s="4">
        <v>13999</v>
      </c>
      <c r="D242" s="4">
        <v>29254</v>
      </c>
      <c r="E242" s="4">
        <v>70194</v>
      </c>
      <c r="F242" s="4">
        <v>75022</v>
      </c>
    </row>
    <row r="243" spans="1:6" ht="12.75">
      <c r="A243" s="28" t="s">
        <v>17</v>
      </c>
      <c r="B243" s="28" t="s">
        <v>150</v>
      </c>
      <c r="C243" s="4">
        <v>13999</v>
      </c>
      <c r="D243" s="4">
        <v>29254</v>
      </c>
      <c r="E243" s="4">
        <v>70195</v>
      </c>
      <c r="F243" s="4">
        <v>75034</v>
      </c>
    </row>
    <row r="244" spans="1:6" ht="12.75">
      <c r="A244" s="28" t="s">
        <v>18</v>
      </c>
      <c r="B244" s="28" t="s">
        <v>151</v>
      </c>
      <c r="C244" s="4">
        <v>13999</v>
      </c>
      <c r="D244" s="4">
        <v>29254</v>
      </c>
      <c r="E244" s="4">
        <v>70692</v>
      </c>
      <c r="F244" s="4">
        <v>75564</v>
      </c>
    </row>
    <row r="245" spans="1:6" ht="12.75">
      <c r="A245" s="28" t="s">
        <v>19</v>
      </c>
      <c r="B245" s="28" t="s">
        <v>117</v>
      </c>
      <c r="C245" s="4">
        <v>0</v>
      </c>
      <c r="D245" s="4">
        <v>13</v>
      </c>
      <c r="E245" s="4">
        <v>36</v>
      </c>
      <c r="F245" s="4">
        <v>36</v>
      </c>
    </row>
    <row r="246" spans="1:6" ht="12.75">
      <c r="A246" s="28" t="s">
        <v>91</v>
      </c>
      <c r="B246" s="28" t="s">
        <v>152</v>
      </c>
      <c r="C246" s="4">
        <v>17252</v>
      </c>
      <c r="D246" s="4">
        <v>39884</v>
      </c>
      <c r="E246" s="31">
        <v>39884</v>
      </c>
      <c r="F246" s="31">
        <v>39884</v>
      </c>
    </row>
    <row r="247" spans="1:6" ht="12.75">
      <c r="A247" s="28" t="s">
        <v>20</v>
      </c>
      <c r="B247" s="28" t="s">
        <v>118</v>
      </c>
      <c r="C247" s="4">
        <v>601</v>
      </c>
      <c r="D247" s="4">
        <v>1824</v>
      </c>
      <c r="E247" s="4">
        <v>3635</v>
      </c>
      <c r="F247" s="4">
        <v>4036</v>
      </c>
    </row>
    <row r="248" spans="1:6" ht="12.75">
      <c r="A248" s="28" t="s">
        <v>21</v>
      </c>
      <c r="B248" s="28" t="s">
        <v>153</v>
      </c>
      <c r="C248" s="4">
        <v>17010</v>
      </c>
      <c r="D248" s="4">
        <v>39598</v>
      </c>
      <c r="E248" s="4">
        <v>94518</v>
      </c>
      <c r="F248" s="4">
        <v>99887</v>
      </c>
    </row>
    <row r="249" spans="1:6" ht="12.75">
      <c r="A249" s="28" t="s">
        <v>22</v>
      </c>
      <c r="B249" s="28" t="s">
        <v>154</v>
      </c>
      <c r="C249" s="4">
        <v>17301</v>
      </c>
      <c r="D249" s="4">
        <v>40534</v>
      </c>
      <c r="E249" s="4">
        <v>100724</v>
      </c>
      <c r="F249" s="4">
        <v>107831</v>
      </c>
    </row>
    <row r="250" spans="1:6" ht="12.75">
      <c r="A250" s="28" t="s">
        <v>23</v>
      </c>
      <c r="B250" s="28" t="s">
        <v>155</v>
      </c>
      <c r="C250" s="4">
        <v>17301</v>
      </c>
      <c r="D250" s="4">
        <v>40549</v>
      </c>
      <c r="E250" s="4">
        <v>100760</v>
      </c>
      <c r="F250" s="4">
        <v>107855</v>
      </c>
    </row>
    <row r="251" spans="1:6" ht="12.75">
      <c r="A251" s="28" t="s">
        <v>24</v>
      </c>
      <c r="B251" s="28" t="s">
        <v>119</v>
      </c>
      <c r="C251" s="4">
        <v>5029</v>
      </c>
      <c r="D251" s="4">
        <v>8557</v>
      </c>
      <c r="E251" s="4">
        <v>10060</v>
      </c>
      <c r="F251" s="4">
        <v>10575</v>
      </c>
    </row>
    <row r="252" spans="1:6" ht="12.75">
      <c r="A252" s="28" t="s">
        <v>25</v>
      </c>
      <c r="B252" s="28" t="s">
        <v>120</v>
      </c>
      <c r="C252" s="4">
        <v>1643</v>
      </c>
      <c r="D252" s="4">
        <v>3561</v>
      </c>
      <c r="E252" s="4">
        <v>5514</v>
      </c>
      <c r="F252" s="4">
        <v>5889</v>
      </c>
    </row>
    <row r="253" spans="1:6" ht="12.75">
      <c r="A253" s="28" t="s">
        <v>26</v>
      </c>
      <c r="B253" s="28" t="s">
        <v>121</v>
      </c>
      <c r="C253" s="4">
        <v>0</v>
      </c>
      <c r="D253" s="4">
        <v>0</v>
      </c>
      <c r="E253" s="4">
        <v>184</v>
      </c>
      <c r="F253" s="4">
        <v>191</v>
      </c>
    </row>
    <row r="254" spans="1:6" ht="12.75">
      <c r="A254" s="28" t="s">
        <v>27</v>
      </c>
      <c r="B254" s="28" t="s">
        <v>144</v>
      </c>
      <c r="C254" s="4">
        <v>0</v>
      </c>
      <c r="D254" s="4">
        <v>1</v>
      </c>
      <c r="E254" s="4">
        <v>7</v>
      </c>
      <c r="F254" s="4">
        <v>21</v>
      </c>
    </row>
    <row r="255" spans="1:6" ht="12.75">
      <c r="A255" s="28" t="s">
        <v>28</v>
      </c>
      <c r="B255" s="28" t="s">
        <v>122</v>
      </c>
      <c r="C255" s="4">
        <v>34</v>
      </c>
      <c r="D255" s="4">
        <v>110</v>
      </c>
      <c r="E255" s="4">
        <v>1703</v>
      </c>
      <c r="F255" s="4">
        <v>2048</v>
      </c>
    </row>
    <row r="256" spans="1:6" ht="12.75">
      <c r="A256" s="28" t="s">
        <v>29</v>
      </c>
      <c r="B256" s="28" t="s">
        <v>123</v>
      </c>
      <c r="C256" s="4">
        <v>0</v>
      </c>
      <c r="D256" s="4">
        <v>96</v>
      </c>
      <c r="E256" s="4">
        <v>132</v>
      </c>
      <c r="F256" s="4">
        <v>160</v>
      </c>
    </row>
    <row r="257" spans="1:6" ht="12.75">
      <c r="A257" s="28" t="s">
        <v>30</v>
      </c>
      <c r="B257" s="28" t="s">
        <v>124</v>
      </c>
      <c r="C257" s="4">
        <v>0</v>
      </c>
      <c r="D257" s="4">
        <v>0</v>
      </c>
      <c r="E257" s="31">
        <v>0</v>
      </c>
      <c r="F257" s="31">
        <v>0</v>
      </c>
    </row>
    <row r="258" spans="1:6" ht="12.75">
      <c r="A258" s="28" t="s">
        <v>31</v>
      </c>
      <c r="B258" s="28" t="s">
        <v>125</v>
      </c>
      <c r="C258" s="4">
        <v>166</v>
      </c>
      <c r="D258" s="4">
        <v>1591</v>
      </c>
      <c r="E258" s="4">
        <v>6770</v>
      </c>
      <c r="F258" s="4">
        <v>7522</v>
      </c>
    </row>
    <row r="259" spans="1:6" ht="12.75">
      <c r="A259" s="28" t="s">
        <v>32</v>
      </c>
      <c r="B259" s="28" t="s">
        <v>126</v>
      </c>
      <c r="C259" s="4">
        <v>0</v>
      </c>
      <c r="D259" s="4">
        <v>0</v>
      </c>
      <c r="E259" s="4">
        <v>54</v>
      </c>
      <c r="F259" s="4">
        <v>69</v>
      </c>
    </row>
    <row r="260" spans="1:6" ht="12.75">
      <c r="A260" s="28" t="s">
        <v>92</v>
      </c>
      <c r="B260" s="28" t="s">
        <v>156</v>
      </c>
      <c r="C260" s="4">
        <v>34</v>
      </c>
      <c r="D260" s="4">
        <v>56</v>
      </c>
      <c r="E260" s="4">
        <v>103</v>
      </c>
      <c r="F260" s="4">
        <v>109</v>
      </c>
    </row>
    <row r="261" spans="1:6" ht="12.75">
      <c r="A261" s="28" t="s">
        <v>33</v>
      </c>
      <c r="B261" s="28" t="s">
        <v>127</v>
      </c>
      <c r="C261" s="4">
        <v>0</v>
      </c>
      <c r="D261" s="4">
        <v>0</v>
      </c>
      <c r="E261" s="4">
        <v>43</v>
      </c>
      <c r="F261" s="4">
        <v>45</v>
      </c>
    </row>
    <row r="262" spans="1:6" ht="12.75">
      <c r="A262" s="28" t="s">
        <v>34</v>
      </c>
      <c r="B262" s="28" t="s">
        <v>128</v>
      </c>
      <c r="C262" s="4"/>
      <c r="D262" s="4"/>
      <c r="E262" s="4"/>
      <c r="F262" s="4"/>
    </row>
    <row r="263" spans="1:6" ht="12.75">
      <c r="A263" s="28" t="s">
        <v>35</v>
      </c>
      <c r="B263" s="28" t="s">
        <v>129</v>
      </c>
      <c r="C263" s="4">
        <v>1015</v>
      </c>
      <c r="D263" s="4">
        <v>3251</v>
      </c>
      <c r="E263" s="4">
        <v>5565</v>
      </c>
      <c r="F263" s="4">
        <v>6642</v>
      </c>
    </row>
    <row r="264" spans="1:6" ht="12.75">
      <c r="A264" s="28" t="s">
        <v>36</v>
      </c>
      <c r="B264" s="28" t="s">
        <v>157</v>
      </c>
      <c r="C264" s="4">
        <v>291</v>
      </c>
      <c r="D264" s="4">
        <v>936</v>
      </c>
      <c r="E264" s="4">
        <v>6206</v>
      </c>
      <c r="F264" s="4">
        <v>7944</v>
      </c>
    </row>
    <row r="265" spans="1:6" ht="12.75">
      <c r="A265" s="28" t="s">
        <v>37</v>
      </c>
      <c r="B265" s="28" t="s">
        <v>130</v>
      </c>
      <c r="C265" s="4">
        <v>242</v>
      </c>
      <c r="D265" s="4">
        <v>286</v>
      </c>
      <c r="E265" s="4">
        <v>429</v>
      </c>
      <c r="F265" s="4">
        <v>443</v>
      </c>
    </row>
    <row r="266" spans="1:6" ht="12.75">
      <c r="A266" s="28" t="s">
        <v>38</v>
      </c>
      <c r="B266" s="28" t="s">
        <v>131</v>
      </c>
      <c r="C266" s="4">
        <v>257</v>
      </c>
      <c r="D266" s="4">
        <v>221</v>
      </c>
      <c r="E266" s="4">
        <v>2556</v>
      </c>
      <c r="F266" s="4">
        <v>3459</v>
      </c>
    </row>
    <row r="267" spans="1:6" ht="12.75">
      <c r="A267" s="28" t="s">
        <v>39</v>
      </c>
      <c r="B267" s="28" t="s">
        <v>132</v>
      </c>
      <c r="C267" s="4">
        <v>689</v>
      </c>
      <c r="D267" s="4">
        <v>1553</v>
      </c>
      <c r="E267" s="4">
        <v>2147</v>
      </c>
      <c r="F267" s="4">
        <v>2133</v>
      </c>
    </row>
    <row r="268" spans="1:6" ht="12.75">
      <c r="A268" s="28" t="s">
        <v>40</v>
      </c>
      <c r="B268" s="28" t="s">
        <v>133</v>
      </c>
      <c r="C268" s="4">
        <v>0</v>
      </c>
      <c r="D268" s="4">
        <v>0</v>
      </c>
      <c r="E268" s="4">
        <v>36</v>
      </c>
      <c r="F268" s="4">
        <v>24</v>
      </c>
    </row>
    <row r="269" spans="1:6" ht="12.75">
      <c r="A269" s="28" t="s">
        <v>41</v>
      </c>
      <c r="B269" s="28" t="s">
        <v>134</v>
      </c>
      <c r="C269" s="4">
        <v>2123</v>
      </c>
      <c r="D269" s="4">
        <v>4206</v>
      </c>
      <c r="E269" s="4">
        <v>10578</v>
      </c>
      <c r="F269" s="4">
        <v>11183</v>
      </c>
    </row>
    <row r="270" spans="1:6" ht="12.75">
      <c r="A270" s="28" t="s">
        <v>42</v>
      </c>
      <c r="B270" s="28" t="s">
        <v>135</v>
      </c>
      <c r="C270" s="4">
        <v>0</v>
      </c>
      <c r="D270" s="4">
        <v>70</v>
      </c>
      <c r="E270" s="4">
        <v>113</v>
      </c>
      <c r="F270" s="4">
        <v>288</v>
      </c>
    </row>
    <row r="271" spans="1:6" ht="12.75">
      <c r="A271" s="28" t="s">
        <v>43</v>
      </c>
      <c r="B271" s="28" t="s">
        <v>136</v>
      </c>
      <c r="C271" s="4">
        <v>0</v>
      </c>
      <c r="D271" s="4">
        <v>0</v>
      </c>
      <c r="E271" s="4">
        <v>497</v>
      </c>
      <c r="F271" s="4">
        <v>530</v>
      </c>
    </row>
    <row r="272" spans="1:6" ht="12.75">
      <c r="A272" s="28" t="s">
        <v>44</v>
      </c>
      <c r="B272" s="28" t="s">
        <v>137</v>
      </c>
      <c r="C272" s="4">
        <v>0</v>
      </c>
      <c r="D272" s="4">
        <v>166</v>
      </c>
      <c r="E272" s="4">
        <v>95</v>
      </c>
      <c r="F272" s="4">
        <v>142</v>
      </c>
    </row>
    <row r="273" spans="1:6" ht="12.75">
      <c r="A273" s="28" t="s">
        <v>45</v>
      </c>
      <c r="B273" s="28" t="s">
        <v>158</v>
      </c>
      <c r="C273" s="4">
        <v>678</v>
      </c>
      <c r="D273" s="4">
        <v>4349</v>
      </c>
      <c r="E273" s="4">
        <v>9999</v>
      </c>
      <c r="F273" s="4">
        <v>10053</v>
      </c>
    </row>
    <row r="276" spans="1:2" ht="18">
      <c r="A276" s="33" t="s">
        <v>163</v>
      </c>
      <c r="B276" s="33"/>
    </row>
    <row r="277" ht="12.75">
      <c r="A277" s="32" t="s">
        <v>0</v>
      </c>
    </row>
    <row r="278" spans="1:4" ht="12.75">
      <c r="A278" s="32" t="s">
        <v>1</v>
      </c>
      <c r="C278" s="2" t="s">
        <v>168</v>
      </c>
      <c r="D278" s="2"/>
    </row>
    <row r="280" spans="1:3" ht="12.75">
      <c r="A280" s="32" t="s">
        <v>2</v>
      </c>
      <c r="C280" t="s">
        <v>3</v>
      </c>
    </row>
    <row r="281" spans="1:4" ht="12.75">
      <c r="A281" s="32" t="s">
        <v>4</v>
      </c>
      <c r="C281" s="15" t="s">
        <v>94</v>
      </c>
      <c r="D281" s="15"/>
    </row>
    <row r="282" spans="1:3" ht="12.75">
      <c r="A282" s="32" t="s">
        <v>5</v>
      </c>
      <c r="C282" t="s">
        <v>96</v>
      </c>
    </row>
    <row r="283" spans="1:3" ht="12.75">
      <c r="A283" s="32" t="s">
        <v>6</v>
      </c>
      <c r="C283" t="s">
        <v>99</v>
      </c>
    </row>
    <row r="286" spans="1:6" ht="12.75">
      <c r="A286" s="35" t="s">
        <v>7</v>
      </c>
      <c r="B286" s="35"/>
      <c r="C286" s="3">
        <v>1990</v>
      </c>
      <c r="D286" s="3">
        <v>2000</v>
      </c>
      <c r="E286" s="3">
        <v>2007</v>
      </c>
      <c r="F286" s="3">
        <v>2008</v>
      </c>
    </row>
    <row r="287" spans="1:6" ht="12.75">
      <c r="A287" s="35" t="s">
        <v>8</v>
      </c>
      <c r="B287" s="28" t="s">
        <v>112</v>
      </c>
      <c r="C287" s="4">
        <v>13292</v>
      </c>
      <c r="D287" s="4">
        <v>11609</v>
      </c>
      <c r="E287" s="4">
        <v>15921</v>
      </c>
      <c r="F287" s="4">
        <v>16737</v>
      </c>
    </row>
    <row r="288" spans="1:6" ht="12.75">
      <c r="A288" s="35" t="s">
        <v>9</v>
      </c>
      <c r="B288" s="28" t="s">
        <v>113</v>
      </c>
      <c r="C288" s="4">
        <v>24580</v>
      </c>
      <c r="D288" s="4">
        <v>32289</v>
      </c>
      <c r="E288" s="4">
        <v>36306</v>
      </c>
      <c r="F288" s="4">
        <v>34089</v>
      </c>
    </row>
    <row r="289" spans="1:6" ht="12.75">
      <c r="A289" s="35" t="s">
        <v>10</v>
      </c>
      <c r="B289" s="28" t="s">
        <v>114</v>
      </c>
      <c r="C289" s="4">
        <v>21716</v>
      </c>
      <c r="D289" s="4">
        <v>17949</v>
      </c>
      <c r="E289" s="4">
        <v>23539</v>
      </c>
      <c r="F289" s="4">
        <v>25002</v>
      </c>
    </row>
    <row r="290" spans="1:6" ht="12.75">
      <c r="A290" s="35" t="s">
        <v>11</v>
      </c>
      <c r="B290" s="28" t="s">
        <v>144</v>
      </c>
      <c r="C290" s="4">
        <v>4316</v>
      </c>
      <c r="D290" s="4">
        <v>4250</v>
      </c>
      <c r="E290" s="4">
        <v>7297</v>
      </c>
      <c r="F290" s="4">
        <v>6500</v>
      </c>
    </row>
    <row r="291" spans="1:6" ht="12.75">
      <c r="A291" s="35" t="s">
        <v>12</v>
      </c>
      <c r="B291" s="28" t="s">
        <v>115</v>
      </c>
      <c r="C291" s="4">
        <v>1974</v>
      </c>
      <c r="D291" s="4">
        <v>3370</v>
      </c>
      <c r="E291" s="4">
        <v>4786</v>
      </c>
      <c r="F291" s="4">
        <v>5004</v>
      </c>
    </row>
    <row r="292" spans="1:6" ht="12.75">
      <c r="A292" s="35" t="s">
        <v>13</v>
      </c>
      <c r="B292" s="28" t="s">
        <v>145</v>
      </c>
      <c r="C292" s="4">
        <v>41248</v>
      </c>
      <c r="D292" s="4">
        <v>47480</v>
      </c>
      <c r="E292" s="4">
        <v>50677</v>
      </c>
      <c r="F292" s="4">
        <v>45342</v>
      </c>
    </row>
    <row r="293" spans="1:6" ht="12.75">
      <c r="A293" s="35" t="s">
        <v>89</v>
      </c>
      <c r="B293" s="28" t="s">
        <v>146</v>
      </c>
      <c r="C293" s="4">
        <v>266998</v>
      </c>
      <c r="D293" s="4">
        <v>315923</v>
      </c>
      <c r="E293" s="4">
        <v>375533</v>
      </c>
      <c r="F293" s="4">
        <v>372219</v>
      </c>
    </row>
    <row r="294" spans="1:6" ht="12.75">
      <c r="A294" s="35" t="s">
        <v>14</v>
      </c>
      <c r="B294" s="28" t="s">
        <v>116</v>
      </c>
      <c r="C294" s="4">
        <v>24756</v>
      </c>
      <c r="D294" s="4">
        <v>28952</v>
      </c>
      <c r="E294" s="4">
        <v>29623</v>
      </c>
      <c r="F294" s="4">
        <v>27195</v>
      </c>
    </row>
    <row r="295" spans="1:6" ht="12.75">
      <c r="A295" s="35" t="s">
        <v>90</v>
      </c>
      <c r="B295" s="28" t="s">
        <v>147</v>
      </c>
      <c r="C295" s="4">
        <v>664904</v>
      </c>
      <c r="D295" s="4">
        <v>825710</v>
      </c>
      <c r="E295" s="4">
        <v>1107521</v>
      </c>
      <c r="F295" s="4">
        <v>1097266</v>
      </c>
    </row>
    <row r="296" spans="1:6" ht="12.75">
      <c r="A296" s="35" t="s">
        <v>15</v>
      </c>
      <c r="B296" s="34" t="s">
        <v>148</v>
      </c>
      <c r="C296" s="4">
        <v>697033</v>
      </c>
      <c r="D296" s="4">
        <v>873977</v>
      </c>
      <c r="E296" s="4">
        <v>1101741</v>
      </c>
      <c r="F296" s="4">
        <v>1084157</v>
      </c>
    </row>
    <row r="297" spans="1:6" ht="12.75">
      <c r="A297" s="35" t="s">
        <v>16</v>
      </c>
      <c r="B297" s="28" t="s">
        <v>149</v>
      </c>
      <c r="C297" s="4">
        <v>700901</v>
      </c>
      <c r="D297" s="4">
        <v>878556</v>
      </c>
      <c r="E297" s="4">
        <v>1107521</v>
      </c>
      <c r="F297" s="4">
        <v>1089986</v>
      </c>
    </row>
    <row r="298" spans="1:6" ht="12.75">
      <c r="A298" s="35" t="s">
        <v>17</v>
      </c>
      <c r="B298" s="28" t="s">
        <v>150</v>
      </c>
      <c r="C298" s="4">
        <v>703975</v>
      </c>
      <c r="D298" s="4">
        <v>883843</v>
      </c>
      <c r="E298" s="4">
        <v>1114603</v>
      </c>
      <c r="F298" s="4">
        <v>1097266</v>
      </c>
    </row>
    <row r="299" spans="1:6" ht="12.75">
      <c r="A299" s="35" t="s">
        <v>18</v>
      </c>
      <c r="B299" s="28" t="s">
        <v>151</v>
      </c>
      <c r="C299" s="4">
        <v>713491</v>
      </c>
      <c r="D299" s="4">
        <v>893059</v>
      </c>
      <c r="E299" s="4">
        <v>1120051</v>
      </c>
      <c r="F299" s="4">
        <v>1102620</v>
      </c>
    </row>
    <row r="300" spans="1:6" ht="12.75">
      <c r="A300" s="35" t="s">
        <v>19</v>
      </c>
      <c r="B300" s="28" t="s">
        <v>117</v>
      </c>
      <c r="C300" s="4">
        <v>17134</v>
      </c>
      <c r="D300" s="4">
        <v>8367</v>
      </c>
      <c r="E300" s="4">
        <v>11946</v>
      </c>
      <c r="F300" s="4">
        <v>10308</v>
      </c>
    </row>
    <row r="301" spans="1:6" ht="12.75">
      <c r="A301" s="35" t="s">
        <v>91</v>
      </c>
      <c r="B301" s="28" t="s">
        <v>152</v>
      </c>
      <c r="C301" s="4">
        <v>955657</v>
      </c>
      <c r="D301" s="4">
        <v>1154880</v>
      </c>
      <c r="E301" s="31">
        <v>1154880</v>
      </c>
      <c r="F301" s="31">
        <v>1154880</v>
      </c>
    </row>
    <row r="302" spans="1:6" ht="12.75">
      <c r="A302" s="35" t="s">
        <v>20</v>
      </c>
      <c r="B302" s="28" t="s">
        <v>118</v>
      </c>
      <c r="C302" s="4">
        <v>68251</v>
      </c>
      <c r="D302" s="4">
        <v>98314</v>
      </c>
      <c r="E302" s="4">
        <v>157640</v>
      </c>
      <c r="F302" s="4">
        <v>156913</v>
      </c>
    </row>
    <row r="303" spans="1:6" ht="12.75">
      <c r="A303" s="35" t="s">
        <v>21</v>
      </c>
      <c r="B303" s="28" t="s">
        <v>153</v>
      </c>
      <c r="C303" s="4">
        <v>955141</v>
      </c>
      <c r="D303" s="4">
        <v>1153401</v>
      </c>
      <c r="E303" s="4">
        <v>1418548</v>
      </c>
      <c r="F303" s="4">
        <v>1399848</v>
      </c>
    </row>
    <row r="304" spans="1:6" ht="12.75">
      <c r="A304" s="35" t="s">
        <v>22</v>
      </c>
      <c r="B304" s="28" t="s">
        <v>154</v>
      </c>
      <c r="C304" s="4">
        <v>1181286</v>
      </c>
      <c r="D304" s="4">
        <v>1386029</v>
      </c>
      <c r="E304" s="4">
        <v>1676550</v>
      </c>
      <c r="F304" s="4">
        <v>1648589</v>
      </c>
    </row>
    <row r="305" spans="1:6" ht="12.75">
      <c r="A305" s="35" t="s">
        <v>23</v>
      </c>
      <c r="B305" s="28" t="s">
        <v>155</v>
      </c>
      <c r="C305" s="4">
        <v>1247806</v>
      </c>
      <c r="D305" s="4">
        <v>1434323</v>
      </c>
      <c r="E305" s="4">
        <v>1735214</v>
      </c>
      <c r="F305" s="4">
        <v>1707366</v>
      </c>
    </row>
    <row r="306" spans="1:6" ht="12.75">
      <c r="A306" s="35" t="s">
        <v>24</v>
      </c>
      <c r="B306" s="28" t="s">
        <v>119</v>
      </c>
      <c r="C306" s="4">
        <v>15616</v>
      </c>
      <c r="D306" s="4">
        <v>21183</v>
      </c>
      <c r="E306" s="4">
        <v>32224</v>
      </c>
      <c r="F306" s="4">
        <v>26314</v>
      </c>
    </row>
    <row r="307" spans="1:6" ht="12.75">
      <c r="A307" s="35" t="s">
        <v>25</v>
      </c>
      <c r="B307" s="28" t="s">
        <v>120</v>
      </c>
      <c r="C307" s="4">
        <v>27978</v>
      </c>
      <c r="D307" s="4">
        <v>38237</v>
      </c>
      <c r="E307" s="4">
        <v>39897</v>
      </c>
      <c r="F307" s="4">
        <v>42723</v>
      </c>
    </row>
    <row r="308" spans="1:6" ht="12.75">
      <c r="A308" s="35" t="s">
        <v>26</v>
      </c>
      <c r="B308" s="28" t="s">
        <v>121</v>
      </c>
      <c r="C308" s="4">
        <v>32129</v>
      </c>
      <c r="D308" s="4">
        <v>48267</v>
      </c>
      <c r="E308" s="4">
        <v>57405</v>
      </c>
      <c r="F308" s="4">
        <v>56042</v>
      </c>
    </row>
    <row r="309" spans="1:6" ht="12.75">
      <c r="A309" s="35" t="s">
        <v>27</v>
      </c>
      <c r="B309" s="28" t="s">
        <v>144</v>
      </c>
      <c r="C309" s="4">
        <v>4316</v>
      </c>
      <c r="D309" s="4">
        <v>4250</v>
      </c>
      <c r="E309" s="4">
        <v>7297</v>
      </c>
      <c r="F309" s="4">
        <v>6500</v>
      </c>
    </row>
    <row r="310" spans="1:6" ht="12.75">
      <c r="A310" s="35" t="s">
        <v>28</v>
      </c>
      <c r="B310" s="28" t="s">
        <v>122</v>
      </c>
      <c r="C310" s="4">
        <v>13554</v>
      </c>
      <c r="D310" s="4">
        <v>20335</v>
      </c>
      <c r="E310" s="4">
        <v>24631</v>
      </c>
      <c r="F310" s="4">
        <v>24407</v>
      </c>
    </row>
    <row r="311" spans="1:6" ht="12.75">
      <c r="A311" s="35" t="s">
        <v>29</v>
      </c>
      <c r="B311" s="28" t="s">
        <v>123</v>
      </c>
      <c r="C311" s="4">
        <v>13326</v>
      </c>
      <c r="D311" s="4">
        <v>22030</v>
      </c>
      <c r="E311" s="4">
        <v>23427</v>
      </c>
      <c r="F311" s="4">
        <v>24094</v>
      </c>
    </row>
    <row r="312" spans="1:6" ht="12.75">
      <c r="A312" s="35" t="s">
        <v>30</v>
      </c>
      <c r="B312" s="28" t="s">
        <v>124</v>
      </c>
      <c r="C312" s="4">
        <v>305</v>
      </c>
      <c r="D312" s="4">
        <v>1327</v>
      </c>
      <c r="E312" s="31">
        <v>1327</v>
      </c>
      <c r="F312" s="31">
        <v>1327</v>
      </c>
    </row>
    <row r="313" spans="1:6" ht="12.75">
      <c r="A313" s="35" t="s">
        <v>31</v>
      </c>
      <c r="B313" s="28" t="s">
        <v>125</v>
      </c>
      <c r="C313" s="4">
        <v>160987</v>
      </c>
      <c r="D313" s="4">
        <v>187930</v>
      </c>
      <c r="E313" s="4">
        <v>252919</v>
      </c>
      <c r="F313" s="4">
        <v>248963</v>
      </c>
    </row>
    <row r="314" spans="1:6" ht="12.75">
      <c r="A314" s="35" t="s">
        <v>32</v>
      </c>
      <c r="B314" s="28" t="s">
        <v>126</v>
      </c>
      <c r="C314" s="4">
        <v>10809</v>
      </c>
      <c r="D314" s="4">
        <v>2254</v>
      </c>
      <c r="E314" s="4">
        <v>2496</v>
      </c>
      <c r="F314" s="4">
        <v>2449</v>
      </c>
    </row>
    <row r="315" spans="1:6" ht="12.75">
      <c r="A315" s="35" t="s">
        <v>92</v>
      </c>
      <c r="B315" s="28" t="s">
        <v>156</v>
      </c>
      <c r="C315" s="4">
        <v>34</v>
      </c>
      <c r="D315" s="4">
        <v>52</v>
      </c>
      <c r="E315" s="4">
        <v>2599</v>
      </c>
      <c r="F315" s="4">
        <v>2089</v>
      </c>
    </row>
    <row r="316" spans="1:6" ht="12.75">
      <c r="A316" s="35" t="s">
        <v>33</v>
      </c>
      <c r="B316" s="28" t="s">
        <v>127</v>
      </c>
      <c r="C316" s="4">
        <v>2043</v>
      </c>
      <c r="D316" s="4">
        <v>1279</v>
      </c>
      <c r="E316" s="4">
        <v>1918</v>
      </c>
      <c r="F316" s="4">
        <v>2045</v>
      </c>
    </row>
    <row r="317" spans="1:6" ht="12.75">
      <c r="A317" s="35" t="s">
        <v>34</v>
      </c>
      <c r="B317" s="28" t="s">
        <v>128</v>
      </c>
      <c r="C317" s="4">
        <v>1100</v>
      </c>
      <c r="D317" s="4">
        <v>1917</v>
      </c>
      <c r="E317" s="4">
        <v>2296</v>
      </c>
      <c r="F317" s="4">
        <v>2276</v>
      </c>
    </row>
    <row r="318" spans="1:6" ht="12.75">
      <c r="A318" s="35" t="s">
        <v>35</v>
      </c>
      <c r="B318" s="28" t="s">
        <v>129</v>
      </c>
      <c r="C318" s="4">
        <v>56053</v>
      </c>
      <c r="D318" s="4">
        <v>71036</v>
      </c>
      <c r="E318" s="4">
        <v>81500</v>
      </c>
      <c r="F318" s="4">
        <v>77124</v>
      </c>
    </row>
    <row r="319" spans="1:6" ht="12.75">
      <c r="A319" s="35" t="s">
        <v>36</v>
      </c>
      <c r="B319" s="28" t="s">
        <v>157</v>
      </c>
      <c r="C319" s="4">
        <v>226145</v>
      </c>
      <c r="D319" s="4">
        <v>232628</v>
      </c>
      <c r="E319" s="4">
        <v>258002</v>
      </c>
      <c r="F319" s="4">
        <v>248741</v>
      </c>
    </row>
    <row r="320" spans="1:6" ht="12.75">
      <c r="A320" s="35" t="s">
        <v>37</v>
      </c>
      <c r="B320" s="28" t="s">
        <v>130</v>
      </c>
      <c r="C320" s="4">
        <v>211</v>
      </c>
      <c r="D320" s="4">
        <v>152</v>
      </c>
      <c r="E320" s="4">
        <v>678</v>
      </c>
      <c r="F320" s="4">
        <v>386</v>
      </c>
    </row>
    <row r="321" spans="1:6" ht="12.75">
      <c r="A321" s="35" t="s">
        <v>38</v>
      </c>
      <c r="B321" s="28" t="s">
        <v>131</v>
      </c>
      <c r="C321" s="4">
        <v>124899</v>
      </c>
      <c r="D321" s="4">
        <v>133831</v>
      </c>
      <c r="E321" s="4">
        <v>148024</v>
      </c>
      <c r="F321" s="4">
        <v>145727</v>
      </c>
    </row>
    <row r="322" spans="1:6" ht="12.75">
      <c r="A322" s="35" t="s">
        <v>39</v>
      </c>
      <c r="B322" s="28" t="s">
        <v>132</v>
      </c>
      <c r="C322" s="4">
        <v>17789</v>
      </c>
      <c r="D322" s="4">
        <v>27107</v>
      </c>
      <c r="E322" s="4">
        <v>26370</v>
      </c>
      <c r="F322" s="4">
        <v>26850</v>
      </c>
    </row>
    <row r="323" spans="1:6" ht="12.75">
      <c r="A323" s="35" t="s">
        <v>40</v>
      </c>
      <c r="B323" s="28" t="s">
        <v>133</v>
      </c>
      <c r="C323" s="4">
        <v>44804</v>
      </c>
      <c r="D323" s="4">
        <v>30345</v>
      </c>
      <c r="E323" s="4">
        <v>35125</v>
      </c>
      <c r="F323" s="4">
        <v>33775</v>
      </c>
    </row>
    <row r="324" spans="1:6" ht="12.75">
      <c r="A324" s="35" t="s">
        <v>41</v>
      </c>
      <c r="B324" s="28" t="s">
        <v>134</v>
      </c>
      <c r="C324" s="4">
        <v>2544</v>
      </c>
      <c r="D324" s="4">
        <v>4885</v>
      </c>
      <c r="E324" s="4">
        <v>8290</v>
      </c>
      <c r="F324" s="4">
        <v>8480</v>
      </c>
    </row>
    <row r="325" spans="1:6" ht="12.75">
      <c r="A325" s="35" t="s">
        <v>42</v>
      </c>
      <c r="B325" s="28" t="s">
        <v>135</v>
      </c>
      <c r="C325" s="4">
        <v>3868</v>
      </c>
      <c r="D325" s="4">
        <v>4579</v>
      </c>
      <c r="E325" s="4">
        <v>5780</v>
      </c>
      <c r="F325" s="4">
        <v>5829</v>
      </c>
    </row>
    <row r="326" spans="1:6" ht="12.75">
      <c r="A326" s="35" t="s">
        <v>43</v>
      </c>
      <c r="B326" s="28" t="s">
        <v>136</v>
      </c>
      <c r="C326" s="4">
        <v>9516</v>
      </c>
      <c r="D326" s="4">
        <v>9216</v>
      </c>
      <c r="E326" s="4">
        <v>5448</v>
      </c>
      <c r="F326" s="4">
        <v>5354</v>
      </c>
    </row>
    <row r="327" spans="1:6" ht="12.75">
      <c r="A327" s="35" t="s">
        <v>44</v>
      </c>
      <c r="B327" s="28" t="s">
        <v>137</v>
      </c>
      <c r="C327" s="4">
        <v>31044</v>
      </c>
      <c r="D327" s="4">
        <v>78115</v>
      </c>
      <c r="E327" s="4">
        <v>140943</v>
      </c>
      <c r="F327" s="4">
        <v>149329</v>
      </c>
    </row>
    <row r="328" spans="1:6" ht="12.75">
      <c r="A328" s="35" t="s">
        <v>45</v>
      </c>
      <c r="B328" s="28" t="s">
        <v>158</v>
      </c>
      <c r="C328" s="4">
        <v>230808</v>
      </c>
      <c r="D328" s="4">
        <v>245587</v>
      </c>
      <c r="E328" s="4">
        <v>278894</v>
      </c>
      <c r="F328" s="4">
        <v>280016</v>
      </c>
    </row>
    <row r="331" ht="12.75">
      <c r="A331" s="32" t="s">
        <v>86</v>
      </c>
    </row>
    <row r="332" ht="12.75">
      <c r="A332" s="32" t="s">
        <v>94</v>
      </c>
    </row>
    <row r="333" ht="12.75">
      <c r="A333" s="32" t="s">
        <v>95</v>
      </c>
    </row>
    <row r="334" ht="12.75">
      <c r="A334" s="32" t="s">
        <v>98</v>
      </c>
    </row>
    <row r="335" ht="12.75">
      <c r="A335" s="32" t="s">
        <v>100</v>
      </c>
    </row>
    <row r="336" ht="12.75">
      <c r="A336" s="32" t="s">
        <v>94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8"/>
  <sheetViews>
    <sheetView zoomScale="70" zoomScaleNormal="70" zoomScalePageLayoutView="0" workbookViewId="0" topLeftCell="A101">
      <selection activeCell="U144" sqref="U144"/>
    </sheetView>
  </sheetViews>
  <sheetFormatPr defaultColWidth="9.140625" defaultRowHeight="12.75"/>
  <cols>
    <col min="1" max="1" width="28.421875" style="5" customWidth="1"/>
    <col min="2" max="2" width="14.57421875" style="5" customWidth="1"/>
    <col min="3" max="4" width="11.00390625" style="0" customWidth="1"/>
  </cols>
  <sheetData>
    <row r="1" spans="1:2" ht="18">
      <c r="A1" s="1" t="s">
        <v>169</v>
      </c>
      <c r="B1" s="1"/>
    </row>
    <row r="2" spans="1:2" ht="12.75">
      <c r="A2" t="s">
        <v>0</v>
      </c>
      <c r="B2"/>
    </row>
    <row r="3" spans="1:4" ht="12.75">
      <c r="A3" t="s">
        <v>1</v>
      </c>
      <c r="B3"/>
      <c r="C3" s="2" t="s">
        <v>191</v>
      </c>
      <c r="D3" s="2"/>
    </row>
    <row r="4" spans="1:2" ht="12.75">
      <c r="A4"/>
      <c r="B4"/>
    </row>
    <row r="5" spans="1:3" ht="12.75">
      <c r="A5" t="s">
        <v>2</v>
      </c>
      <c r="B5"/>
      <c r="C5" t="s">
        <v>3</v>
      </c>
    </row>
    <row r="6" spans="1:3" ht="12.75">
      <c r="A6" t="s">
        <v>4</v>
      </c>
      <c r="B6"/>
      <c r="C6" s="15" t="s">
        <v>86</v>
      </c>
    </row>
    <row r="7" spans="1:3" ht="12.75">
      <c r="A7" t="s">
        <v>5</v>
      </c>
      <c r="B7"/>
      <c r="C7" t="s">
        <v>87</v>
      </c>
    </row>
    <row r="8" spans="1:6" ht="12.75">
      <c r="A8" t="s">
        <v>6</v>
      </c>
      <c r="B8"/>
      <c r="C8" t="s">
        <v>88</v>
      </c>
      <c r="F8" s="19" t="s">
        <v>104</v>
      </c>
    </row>
    <row r="9" spans="1:2" ht="12.75">
      <c r="A9"/>
      <c r="B9"/>
    </row>
    <row r="10" spans="1:6" ht="12.75">
      <c r="A10"/>
      <c r="B10"/>
      <c r="C10">
        <v>2</v>
      </c>
      <c r="D10">
        <v>12</v>
      </c>
      <c r="E10">
        <v>19</v>
      </c>
      <c r="F10">
        <v>20</v>
      </c>
    </row>
    <row r="11" spans="1:6" ht="12.75">
      <c r="A11" s="6" t="s">
        <v>7</v>
      </c>
      <c r="B11" s="6"/>
      <c r="C11" s="3">
        <v>1990</v>
      </c>
      <c r="D11" s="3">
        <v>2000</v>
      </c>
      <c r="E11" s="3">
        <v>2007</v>
      </c>
      <c r="F11" s="3">
        <v>2008</v>
      </c>
    </row>
    <row r="12" spans="1:6" ht="12.75">
      <c r="A12" s="28" t="s">
        <v>8</v>
      </c>
      <c r="B12" s="29" t="s">
        <v>112</v>
      </c>
      <c r="C12" s="4">
        <v>17227</v>
      </c>
      <c r="D12" s="4">
        <v>28808</v>
      </c>
      <c r="E12" s="4">
        <v>43816</v>
      </c>
      <c r="F12" s="4">
        <v>45942</v>
      </c>
    </row>
    <row r="13" spans="1:6" ht="12.75">
      <c r="A13" s="28" t="s">
        <v>9</v>
      </c>
      <c r="B13" s="29" t="s">
        <v>113</v>
      </c>
      <c r="C13" s="4">
        <v>9331</v>
      </c>
      <c r="D13" s="4">
        <v>21591</v>
      </c>
      <c r="E13" s="4">
        <v>26409</v>
      </c>
      <c r="F13" s="4">
        <v>28516</v>
      </c>
    </row>
    <row r="14" spans="1:6" ht="12.75">
      <c r="A14" s="28" t="s">
        <v>10</v>
      </c>
      <c r="B14" s="29" t="s">
        <v>114</v>
      </c>
      <c r="C14" s="4">
        <v>107224</v>
      </c>
      <c r="D14" s="4">
        <v>37871</v>
      </c>
      <c r="E14" s="4">
        <v>42227</v>
      </c>
      <c r="F14" s="4">
        <v>50251</v>
      </c>
    </row>
    <row r="15" spans="1:6" ht="12.75">
      <c r="A15" s="28" t="s">
        <v>11</v>
      </c>
      <c r="B15" s="29" t="s">
        <v>144</v>
      </c>
      <c r="C15" s="4">
        <v>11741</v>
      </c>
      <c r="D15" s="4">
        <v>8783</v>
      </c>
      <c r="E15" s="4">
        <v>8676</v>
      </c>
      <c r="F15" s="4">
        <v>8986</v>
      </c>
    </row>
    <row r="16" spans="1:6" ht="12.75">
      <c r="A16" s="28" t="s">
        <v>12</v>
      </c>
      <c r="B16" s="29" t="s">
        <v>115</v>
      </c>
      <c r="C16" s="4"/>
      <c r="D16" s="4"/>
      <c r="E16" s="4"/>
      <c r="F16" s="4"/>
    </row>
    <row r="17" spans="1:6" ht="12.75">
      <c r="A17" s="28" t="s">
        <v>13</v>
      </c>
      <c r="B17" s="29" t="s">
        <v>145</v>
      </c>
      <c r="C17" s="4">
        <v>117722</v>
      </c>
      <c r="D17" s="4">
        <v>103741</v>
      </c>
      <c r="E17" s="4">
        <v>94786</v>
      </c>
      <c r="F17" s="4">
        <v>95606</v>
      </c>
    </row>
    <row r="18" spans="1:6" ht="12.75">
      <c r="A18" s="34" t="s">
        <v>89</v>
      </c>
      <c r="B18" s="29" t="s">
        <v>146</v>
      </c>
      <c r="C18" s="4">
        <v>448383</v>
      </c>
      <c r="D18" s="4">
        <v>255961</v>
      </c>
      <c r="E18" s="4">
        <v>348094</v>
      </c>
      <c r="F18" s="4">
        <v>355388</v>
      </c>
    </row>
    <row r="19" spans="1:6" ht="12.75">
      <c r="A19" s="34" t="s">
        <v>14</v>
      </c>
      <c r="B19" s="29" t="s">
        <v>116</v>
      </c>
      <c r="C19" s="4">
        <v>54350</v>
      </c>
      <c r="D19" s="4">
        <v>97109</v>
      </c>
      <c r="E19" s="4">
        <v>97439</v>
      </c>
      <c r="F19" s="4">
        <v>98629</v>
      </c>
    </row>
    <row r="20" spans="1:6" ht="12.75">
      <c r="A20" s="28" t="s">
        <v>90</v>
      </c>
      <c r="B20" s="29" t="s">
        <v>147</v>
      </c>
      <c r="C20" s="4">
        <v>552927</v>
      </c>
      <c r="D20" s="4">
        <v>551324</v>
      </c>
      <c r="E20" s="4">
        <v>915137</v>
      </c>
      <c r="F20" s="4">
        <v>915310</v>
      </c>
    </row>
    <row r="21" spans="1:6" ht="12.75">
      <c r="A21" s="28" t="s">
        <v>15</v>
      </c>
      <c r="B21" s="30" t="s">
        <v>148</v>
      </c>
      <c r="C21" s="4">
        <v>552927</v>
      </c>
      <c r="D21" s="4">
        <v>552498</v>
      </c>
      <c r="E21" s="4">
        <v>908307</v>
      </c>
      <c r="F21" s="4">
        <v>908044</v>
      </c>
    </row>
    <row r="22" spans="1:6" ht="12.75">
      <c r="A22" s="28" t="s">
        <v>16</v>
      </c>
      <c r="B22" s="29" t="s">
        <v>149</v>
      </c>
      <c r="C22" s="4">
        <v>559256</v>
      </c>
      <c r="D22" s="4">
        <v>558934</v>
      </c>
      <c r="E22" s="4">
        <v>915137</v>
      </c>
      <c r="F22" s="4">
        <v>915310</v>
      </c>
    </row>
    <row r="23" spans="1:6" ht="12.75">
      <c r="A23" s="28" t="s">
        <v>17</v>
      </c>
      <c r="B23" s="29" t="s">
        <v>150</v>
      </c>
      <c r="C23" s="4">
        <v>559256</v>
      </c>
      <c r="D23" s="4">
        <v>558934</v>
      </c>
      <c r="E23" s="4">
        <v>915137</v>
      </c>
      <c r="F23" s="4">
        <v>915310</v>
      </c>
    </row>
    <row r="24" spans="1:6" ht="12.75">
      <c r="A24" s="28" t="s">
        <v>18</v>
      </c>
      <c r="B24" s="29" t="s">
        <v>151</v>
      </c>
      <c r="C24" s="4">
        <v>584545</v>
      </c>
      <c r="D24" s="4">
        <v>574928</v>
      </c>
      <c r="E24" s="4">
        <v>935943</v>
      </c>
      <c r="F24" s="4">
        <v>934341</v>
      </c>
    </row>
    <row r="25" spans="1:6" ht="12.75">
      <c r="A25" s="28" t="s">
        <v>19</v>
      </c>
      <c r="B25" s="29" t="s">
        <v>117</v>
      </c>
      <c r="C25" s="4">
        <v>40286</v>
      </c>
      <c r="D25" s="4">
        <v>10596</v>
      </c>
      <c r="E25" s="4">
        <v>7892</v>
      </c>
      <c r="F25" s="4">
        <v>7233</v>
      </c>
    </row>
    <row r="26" spans="1:6" ht="12.75">
      <c r="A26" s="28" t="s">
        <v>91</v>
      </c>
      <c r="B26" s="29" t="s">
        <v>152</v>
      </c>
      <c r="C26" s="4">
        <v>649832</v>
      </c>
      <c r="D26" s="4">
        <v>738481</v>
      </c>
      <c r="E26" s="31">
        <v>738481</v>
      </c>
      <c r="F26" s="31">
        <v>738481</v>
      </c>
    </row>
    <row r="27" spans="1:6" ht="12.75">
      <c r="A27" s="34" t="s">
        <v>20</v>
      </c>
      <c r="B27" s="29" t="s">
        <v>118</v>
      </c>
      <c r="C27" s="4">
        <v>180</v>
      </c>
      <c r="D27" s="4">
        <v>3101</v>
      </c>
      <c r="E27" s="4">
        <v>0</v>
      </c>
      <c r="F27" s="4">
        <v>0</v>
      </c>
    </row>
    <row r="28" spans="1:6" ht="12.75">
      <c r="A28" s="28" t="s">
        <v>21</v>
      </c>
      <c r="B28" s="29" t="s">
        <v>153</v>
      </c>
      <c r="C28" s="4">
        <v>644056</v>
      </c>
      <c r="D28" s="4">
        <v>729281</v>
      </c>
      <c r="E28" s="4">
        <v>1116669</v>
      </c>
      <c r="F28" s="4">
        <v>1121528</v>
      </c>
    </row>
    <row r="29" spans="1:6" ht="12.75">
      <c r="A29" s="28" t="s">
        <v>22</v>
      </c>
      <c r="B29" s="29" t="s">
        <v>154</v>
      </c>
      <c r="C29" s="4">
        <v>1356104</v>
      </c>
      <c r="D29" s="4">
        <v>1146163</v>
      </c>
      <c r="E29" s="4">
        <v>1536186</v>
      </c>
      <c r="F29" s="4">
        <v>1529369</v>
      </c>
    </row>
    <row r="30" spans="1:6" ht="12.75">
      <c r="A30" s="28" t="s">
        <v>23</v>
      </c>
      <c r="B30" s="29" t="s">
        <v>155</v>
      </c>
      <c r="C30" s="4">
        <v>1463328</v>
      </c>
      <c r="D30" s="4">
        <v>1312361</v>
      </c>
      <c r="E30" s="4">
        <v>1668316</v>
      </c>
      <c r="F30" s="4">
        <v>1658265</v>
      </c>
    </row>
    <row r="31" spans="1:6" ht="12.75">
      <c r="A31" s="28" t="s">
        <v>24</v>
      </c>
      <c r="B31" s="29" t="s">
        <v>119</v>
      </c>
      <c r="C31" s="4">
        <v>61560</v>
      </c>
      <c r="D31" s="4">
        <v>94591</v>
      </c>
      <c r="E31" s="4">
        <v>142969</v>
      </c>
      <c r="F31" s="4">
        <v>140434</v>
      </c>
    </row>
    <row r="32" spans="1:6" ht="12.75">
      <c r="A32" s="28" t="s">
        <v>25</v>
      </c>
      <c r="B32" s="29" t="s">
        <v>120</v>
      </c>
      <c r="C32" s="4"/>
      <c r="D32" s="4"/>
      <c r="E32" s="4"/>
      <c r="F32" s="4"/>
    </row>
    <row r="33" spans="1:6" ht="12.75">
      <c r="A33" s="28" t="s">
        <v>26</v>
      </c>
      <c r="B33" s="29" t="s">
        <v>121</v>
      </c>
      <c r="C33" s="4">
        <v>0</v>
      </c>
      <c r="D33" s="4">
        <v>1174</v>
      </c>
      <c r="E33" s="4">
        <v>1737</v>
      </c>
      <c r="F33" s="4">
        <v>1837</v>
      </c>
    </row>
    <row r="34" spans="1:6" ht="12.75">
      <c r="A34" s="28" t="s">
        <v>27</v>
      </c>
      <c r="B34" s="29" t="s">
        <v>144</v>
      </c>
      <c r="C34" s="4">
        <v>11741</v>
      </c>
      <c r="D34" s="4">
        <v>8783</v>
      </c>
      <c r="E34" s="4">
        <v>8676</v>
      </c>
      <c r="F34" s="4">
        <v>8986</v>
      </c>
    </row>
    <row r="35" spans="1:6" ht="12.75">
      <c r="A35" s="28" t="s">
        <v>28</v>
      </c>
      <c r="B35" s="29" t="s">
        <v>122</v>
      </c>
      <c r="C35" s="4">
        <v>39513</v>
      </c>
      <c r="D35" s="4">
        <v>50619</v>
      </c>
      <c r="E35" s="4">
        <v>38097</v>
      </c>
      <c r="F35" s="4">
        <v>38680</v>
      </c>
    </row>
    <row r="36" spans="1:6" ht="12.75">
      <c r="A36" s="28" t="s">
        <v>29</v>
      </c>
      <c r="B36" s="29" t="s">
        <v>123</v>
      </c>
      <c r="C36" s="4"/>
      <c r="D36" s="4"/>
      <c r="E36" s="4"/>
      <c r="F36" s="4"/>
    </row>
    <row r="37" spans="1:6" ht="12.75">
      <c r="A37" s="28" t="s">
        <v>30</v>
      </c>
      <c r="B37" s="29" t="s">
        <v>124</v>
      </c>
      <c r="C37" s="4">
        <v>4247</v>
      </c>
      <c r="D37" s="4">
        <v>6967</v>
      </c>
      <c r="E37" s="31">
        <v>6967</v>
      </c>
      <c r="F37" s="31">
        <v>6967</v>
      </c>
    </row>
    <row r="38" spans="1:6" ht="12.75">
      <c r="A38" s="28" t="s">
        <v>31</v>
      </c>
      <c r="B38" s="29" t="s">
        <v>125</v>
      </c>
      <c r="C38" s="4">
        <v>0</v>
      </c>
      <c r="D38" s="4">
        <v>0</v>
      </c>
      <c r="E38" s="4">
        <v>204411</v>
      </c>
      <c r="F38" s="4">
        <v>198373</v>
      </c>
    </row>
    <row r="39" spans="1:6" ht="12.75">
      <c r="A39" s="28" t="s">
        <v>32</v>
      </c>
      <c r="B39" s="29" t="s">
        <v>126</v>
      </c>
      <c r="C39" s="4">
        <v>36400</v>
      </c>
      <c r="D39" s="4">
        <v>20782</v>
      </c>
      <c r="E39" s="4">
        <v>25755</v>
      </c>
      <c r="F39" s="4">
        <v>25392</v>
      </c>
    </row>
    <row r="40" spans="1:6" ht="12.75">
      <c r="A40" s="28" t="s">
        <v>92</v>
      </c>
      <c r="B40" s="29" t="s">
        <v>156</v>
      </c>
      <c r="C40" s="4">
        <v>0</v>
      </c>
      <c r="D40" s="4">
        <v>1127</v>
      </c>
      <c r="E40" s="4">
        <v>2280</v>
      </c>
      <c r="F40" s="4">
        <v>2366</v>
      </c>
    </row>
    <row r="41" spans="1:6" ht="12.75">
      <c r="A41" s="28" t="s">
        <v>33</v>
      </c>
      <c r="B41" s="29" t="s">
        <v>127</v>
      </c>
      <c r="C41" s="4">
        <v>22390</v>
      </c>
      <c r="D41" s="4">
        <v>11934</v>
      </c>
      <c r="E41" s="4">
        <v>16078</v>
      </c>
      <c r="F41" s="4">
        <v>13882</v>
      </c>
    </row>
    <row r="42" spans="1:6" ht="12.75">
      <c r="A42" s="28" t="s">
        <v>34</v>
      </c>
      <c r="B42" s="29" t="s">
        <v>128</v>
      </c>
      <c r="C42" s="4"/>
      <c r="D42" s="4"/>
      <c r="E42" s="4"/>
      <c r="F42" s="4"/>
    </row>
    <row r="43" spans="1:6" ht="12.75">
      <c r="A43" s="28" t="s">
        <v>35</v>
      </c>
      <c r="B43" s="29" t="s">
        <v>129</v>
      </c>
      <c r="C43" s="4">
        <v>15058</v>
      </c>
      <c r="D43" s="4">
        <v>140519</v>
      </c>
      <c r="E43" s="4">
        <v>124459</v>
      </c>
      <c r="F43" s="4">
        <v>121937</v>
      </c>
    </row>
    <row r="44" spans="1:6" ht="12.75">
      <c r="A44" s="28" t="s">
        <v>36</v>
      </c>
      <c r="B44" s="29" t="s">
        <v>157</v>
      </c>
      <c r="C44" s="4">
        <v>712048</v>
      </c>
      <c r="D44" s="4">
        <v>416882</v>
      </c>
      <c r="E44" s="4">
        <v>419517</v>
      </c>
      <c r="F44" s="4">
        <v>407841</v>
      </c>
    </row>
    <row r="45" spans="1:6" ht="12.75">
      <c r="A45" s="28" t="s">
        <v>37</v>
      </c>
      <c r="B45" s="29" t="s">
        <v>130</v>
      </c>
      <c r="C45" s="4">
        <v>1529</v>
      </c>
      <c r="D45" s="4">
        <v>2233</v>
      </c>
      <c r="E45" s="4">
        <v>4907</v>
      </c>
      <c r="F45" s="4">
        <v>3507</v>
      </c>
    </row>
    <row r="46" spans="1:6" ht="12.75">
      <c r="A46" s="28" t="s">
        <v>38</v>
      </c>
      <c r="B46" s="29" t="s">
        <v>131</v>
      </c>
      <c r="C46" s="4">
        <v>424119</v>
      </c>
      <c r="D46" s="4">
        <v>196780</v>
      </c>
      <c r="E46" s="4">
        <v>209273</v>
      </c>
      <c r="F46" s="4">
        <v>200751</v>
      </c>
    </row>
    <row r="47" spans="1:6" ht="12.75">
      <c r="A47" s="28" t="s">
        <v>39</v>
      </c>
      <c r="B47" s="29" t="s">
        <v>132</v>
      </c>
      <c r="C47" s="4">
        <v>1188</v>
      </c>
      <c r="D47" s="4">
        <v>5626</v>
      </c>
      <c r="E47" s="4">
        <v>14132</v>
      </c>
      <c r="F47" s="4">
        <v>13251</v>
      </c>
    </row>
    <row r="48" spans="1:6" ht="12.75">
      <c r="A48" s="28" t="s">
        <v>40</v>
      </c>
      <c r="B48" s="29" t="s">
        <v>133</v>
      </c>
      <c r="C48" s="4">
        <v>0</v>
      </c>
      <c r="D48" s="4">
        <v>128327</v>
      </c>
      <c r="E48" s="4">
        <v>89903</v>
      </c>
      <c r="F48" s="4">
        <v>78645</v>
      </c>
    </row>
    <row r="49" spans="1:6" ht="12.75">
      <c r="A49" s="28" t="s">
        <v>41</v>
      </c>
      <c r="B49" s="29" t="s">
        <v>134</v>
      </c>
      <c r="C49" s="4">
        <v>36779</v>
      </c>
      <c r="D49" s="4">
        <v>79674</v>
      </c>
      <c r="E49" s="4">
        <v>110923</v>
      </c>
      <c r="F49" s="4">
        <v>114855</v>
      </c>
    </row>
    <row r="50" spans="1:6" ht="12.75">
      <c r="A50" s="28" t="s">
        <v>42</v>
      </c>
      <c r="B50" s="29" t="s">
        <v>135</v>
      </c>
      <c r="C50" s="4">
        <v>6329</v>
      </c>
      <c r="D50" s="4">
        <v>6436</v>
      </c>
      <c r="E50" s="4">
        <v>6830</v>
      </c>
      <c r="F50" s="4">
        <v>7266</v>
      </c>
    </row>
    <row r="51" spans="1:6" ht="12.75">
      <c r="A51" s="28" t="s">
        <v>43</v>
      </c>
      <c r="B51" s="29" t="s">
        <v>136</v>
      </c>
      <c r="C51" s="4">
        <v>25289</v>
      </c>
      <c r="D51" s="4">
        <v>15994</v>
      </c>
      <c r="E51" s="4">
        <v>20806</v>
      </c>
      <c r="F51" s="4">
        <v>19031</v>
      </c>
    </row>
    <row r="52" spans="1:6" ht="12.75">
      <c r="A52" s="28" t="s">
        <v>44</v>
      </c>
      <c r="B52" s="29" t="s">
        <v>137</v>
      </c>
      <c r="C52" s="4">
        <v>0</v>
      </c>
      <c r="D52" s="4">
        <v>16183</v>
      </c>
      <c r="E52" s="4">
        <v>43212</v>
      </c>
      <c r="F52" s="4">
        <v>42539</v>
      </c>
    </row>
    <row r="53" spans="1:6" ht="12.75">
      <c r="A53" s="34" t="s">
        <v>45</v>
      </c>
      <c r="B53" s="29" t="s">
        <v>158</v>
      </c>
      <c r="C53" s="4">
        <v>0</v>
      </c>
      <c r="D53" s="4">
        <v>0</v>
      </c>
      <c r="E53" s="4">
        <v>0</v>
      </c>
      <c r="F53" s="4">
        <v>0</v>
      </c>
    </row>
    <row r="56" spans="1:2" ht="18">
      <c r="A56" s="1" t="s">
        <v>169</v>
      </c>
      <c r="B56" s="1"/>
    </row>
    <row r="57" spans="1:2" ht="12.75">
      <c r="A57" t="s">
        <v>0</v>
      </c>
      <c r="B57"/>
    </row>
    <row r="58" spans="1:4" ht="12.75">
      <c r="A58" t="s">
        <v>1</v>
      </c>
      <c r="B58"/>
      <c r="C58" s="2" t="s">
        <v>170</v>
      </c>
      <c r="D58" s="2"/>
    </row>
    <row r="59" spans="1:2" ht="12.75">
      <c r="A59"/>
      <c r="B59"/>
    </row>
    <row r="60" spans="1:3" ht="12.75">
      <c r="A60" t="s">
        <v>2</v>
      </c>
      <c r="B60"/>
      <c r="C60" t="s">
        <v>3</v>
      </c>
    </row>
    <row r="61" spans="1:3" ht="12.75">
      <c r="A61" t="s">
        <v>4</v>
      </c>
      <c r="B61"/>
      <c r="C61" s="15" t="s">
        <v>93</v>
      </c>
    </row>
    <row r="62" spans="1:3" ht="12.75">
      <c r="A62" t="s">
        <v>5</v>
      </c>
      <c r="B62"/>
      <c r="C62" t="s">
        <v>87</v>
      </c>
    </row>
    <row r="63" spans="1:3" ht="12.75">
      <c r="A63" t="s">
        <v>6</v>
      </c>
      <c r="B63"/>
      <c r="C63" t="s">
        <v>88</v>
      </c>
    </row>
    <row r="64" spans="1:2" ht="12.75">
      <c r="A64"/>
      <c r="B64"/>
    </row>
    <row r="65" spans="1:2" ht="12.75">
      <c r="A65"/>
      <c r="B65"/>
    </row>
    <row r="66" spans="1:6" ht="12.75">
      <c r="A66" s="6" t="s">
        <v>7</v>
      </c>
      <c r="B66" s="6"/>
      <c r="C66" s="29">
        <v>1990</v>
      </c>
      <c r="D66" s="29">
        <v>2000</v>
      </c>
      <c r="E66" s="29">
        <v>2007</v>
      </c>
      <c r="F66" s="29">
        <v>2008</v>
      </c>
    </row>
    <row r="67" spans="1:6" ht="12.75">
      <c r="A67" s="6" t="s">
        <v>8</v>
      </c>
      <c r="B67" s="29" t="s">
        <v>112</v>
      </c>
      <c r="C67" s="4">
        <v>11219</v>
      </c>
      <c r="D67" s="4">
        <v>19240</v>
      </c>
      <c r="E67" s="4">
        <v>20072</v>
      </c>
      <c r="F67" s="4">
        <v>21789</v>
      </c>
    </row>
    <row r="68" spans="1:6" ht="12.75">
      <c r="A68" s="6" t="s">
        <v>9</v>
      </c>
      <c r="B68" s="29" t="s">
        <v>113</v>
      </c>
      <c r="C68" s="4">
        <v>368</v>
      </c>
      <c r="D68" s="4">
        <v>1527</v>
      </c>
      <c r="E68" s="4">
        <v>148</v>
      </c>
      <c r="F68" s="4">
        <v>119</v>
      </c>
    </row>
    <row r="69" spans="1:6" ht="12.75">
      <c r="A69" s="6" t="s">
        <v>10</v>
      </c>
      <c r="B69" s="29" t="s">
        <v>114</v>
      </c>
      <c r="C69" s="4">
        <v>102832</v>
      </c>
      <c r="D69" s="4">
        <v>12328</v>
      </c>
      <c r="E69" s="4">
        <v>9105</v>
      </c>
      <c r="F69" s="4">
        <v>9469</v>
      </c>
    </row>
    <row r="70" spans="1:6" ht="12.75">
      <c r="A70" s="6" t="s">
        <v>11</v>
      </c>
      <c r="B70" s="29" t="s">
        <v>144</v>
      </c>
      <c r="C70" s="4">
        <v>2644</v>
      </c>
      <c r="D70" s="4">
        <v>2708</v>
      </c>
      <c r="E70" s="4">
        <v>2988</v>
      </c>
      <c r="F70" s="4">
        <v>2964</v>
      </c>
    </row>
    <row r="71" spans="1:6" ht="12.75">
      <c r="A71" s="6" t="s">
        <v>12</v>
      </c>
      <c r="B71" s="29" t="s">
        <v>115</v>
      </c>
      <c r="C71" s="4"/>
      <c r="D71" s="4"/>
      <c r="E71" s="4"/>
      <c r="F71" s="4"/>
    </row>
    <row r="72" spans="1:6" ht="12.75">
      <c r="A72" s="6" t="s">
        <v>13</v>
      </c>
      <c r="B72" s="29" t="s">
        <v>145</v>
      </c>
      <c r="C72" s="4">
        <v>37259</v>
      </c>
      <c r="D72" s="4">
        <v>35475</v>
      </c>
      <c r="E72" s="4">
        <v>25587</v>
      </c>
      <c r="F72" s="4">
        <v>25707</v>
      </c>
    </row>
    <row r="73" spans="1:6" ht="12.75">
      <c r="A73" s="6" t="s">
        <v>89</v>
      </c>
      <c r="B73" s="29" t="s">
        <v>146</v>
      </c>
      <c r="C73" s="4">
        <v>0</v>
      </c>
      <c r="D73" s="4">
        <v>57523</v>
      </c>
      <c r="E73" s="4">
        <v>120791</v>
      </c>
      <c r="F73" s="4">
        <v>124366</v>
      </c>
    </row>
    <row r="74" spans="1:6" ht="12.75">
      <c r="A74" s="6" t="s">
        <v>14</v>
      </c>
      <c r="B74" s="29" t="s">
        <v>116</v>
      </c>
      <c r="C74" s="4">
        <v>38013</v>
      </c>
      <c r="D74" s="4">
        <v>22059</v>
      </c>
      <c r="E74" s="4">
        <v>24491</v>
      </c>
      <c r="F74" s="4">
        <v>25074</v>
      </c>
    </row>
    <row r="75" spans="1:6" ht="12.75">
      <c r="A75" s="6" t="s">
        <v>90</v>
      </c>
      <c r="B75" s="29" t="s">
        <v>147</v>
      </c>
      <c r="C75" s="4">
        <v>36859</v>
      </c>
      <c r="D75" s="4">
        <v>123439</v>
      </c>
      <c r="E75" s="4">
        <v>207289</v>
      </c>
      <c r="F75" s="4">
        <v>212237</v>
      </c>
    </row>
    <row r="76" spans="1:6" ht="12.75">
      <c r="A76" s="6" t="s">
        <v>15</v>
      </c>
      <c r="B76" s="30" t="s">
        <v>148</v>
      </c>
      <c r="C76" s="4">
        <v>36859</v>
      </c>
      <c r="D76" s="4">
        <v>123439</v>
      </c>
      <c r="E76" s="4">
        <v>205260</v>
      </c>
      <c r="F76" s="4">
        <v>210175</v>
      </c>
    </row>
    <row r="77" spans="1:6" ht="12.75">
      <c r="A77" s="6" t="s">
        <v>16</v>
      </c>
      <c r="B77" s="29" t="s">
        <v>149</v>
      </c>
      <c r="C77" s="4">
        <v>38859</v>
      </c>
      <c r="D77" s="4">
        <v>126392</v>
      </c>
      <c r="E77" s="4">
        <v>207289</v>
      </c>
      <c r="F77" s="4">
        <v>212237</v>
      </c>
    </row>
    <row r="78" spans="1:6" ht="12.75">
      <c r="A78" s="6" t="s">
        <v>17</v>
      </c>
      <c r="B78" s="29" t="s">
        <v>150</v>
      </c>
      <c r="C78" s="4">
        <v>38859</v>
      </c>
      <c r="D78" s="4">
        <v>126392</v>
      </c>
      <c r="E78" s="4">
        <v>207289</v>
      </c>
      <c r="F78" s="4">
        <v>212237</v>
      </c>
    </row>
    <row r="79" spans="1:6" ht="12.75">
      <c r="A79" s="6" t="s">
        <v>18</v>
      </c>
      <c r="B79" s="29" t="s">
        <v>151</v>
      </c>
      <c r="C79" s="4">
        <v>47122</v>
      </c>
      <c r="D79" s="4">
        <v>147222</v>
      </c>
      <c r="E79" s="4">
        <v>227089</v>
      </c>
      <c r="F79" s="4">
        <v>231001</v>
      </c>
    </row>
    <row r="80" spans="1:6" ht="12.75">
      <c r="A80" s="6" t="s">
        <v>19</v>
      </c>
      <c r="B80" s="29" t="s">
        <v>117</v>
      </c>
      <c r="C80" s="4">
        <v>51639</v>
      </c>
      <c r="D80" s="4">
        <v>15983</v>
      </c>
      <c r="E80" s="4">
        <v>18150</v>
      </c>
      <c r="F80" s="4">
        <v>17913</v>
      </c>
    </row>
    <row r="81" spans="1:6" ht="12.75">
      <c r="A81" s="6" t="s">
        <v>91</v>
      </c>
      <c r="B81" s="29" t="s">
        <v>152</v>
      </c>
      <c r="C81" s="4">
        <v>122204</v>
      </c>
      <c r="D81" s="4">
        <v>333155</v>
      </c>
      <c r="E81" s="31">
        <v>333155</v>
      </c>
      <c r="F81" s="31">
        <v>333155</v>
      </c>
    </row>
    <row r="82" spans="1:6" ht="12.75">
      <c r="A82" s="6" t="s">
        <v>20</v>
      </c>
      <c r="B82" s="29" t="s">
        <v>118</v>
      </c>
      <c r="C82" s="4"/>
      <c r="D82" s="4"/>
      <c r="E82" s="4"/>
      <c r="F82" s="4"/>
    </row>
    <row r="83" spans="1:6" ht="12.75">
      <c r="A83" s="6" t="s">
        <v>21</v>
      </c>
      <c r="B83" s="29" t="s">
        <v>153</v>
      </c>
      <c r="C83" s="4">
        <v>116227</v>
      </c>
      <c r="D83" s="4">
        <v>326076</v>
      </c>
      <c r="E83" s="4">
        <v>346358</v>
      </c>
      <c r="F83" s="4">
        <v>351660</v>
      </c>
    </row>
    <row r="84" spans="1:6" ht="12.75">
      <c r="A84" s="6" t="s">
        <v>22</v>
      </c>
      <c r="B84" s="29" t="s">
        <v>154</v>
      </c>
      <c r="C84" s="4">
        <v>704391</v>
      </c>
      <c r="D84" s="4">
        <v>608092</v>
      </c>
      <c r="E84" s="4">
        <v>576133</v>
      </c>
      <c r="F84" s="4">
        <v>576456</v>
      </c>
    </row>
    <row r="85" spans="1:6" ht="12.75">
      <c r="A85" s="6" t="s">
        <v>23</v>
      </c>
      <c r="B85" s="29" t="s">
        <v>155</v>
      </c>
      <c r="C85" s="4">
        <v>807223</v>
      </c>
      <c r="D85" s="4">
        <v>682874</v>
      </c>
      <c r="E85" s="4">
        <v>605498</v>
      </c>
      <c r="F85" s="4">
        <v>607975</v>
      </c>
    </row>
    <row r="86" spans="1:6" ht="12.75">
      <c r="A86" s="6" t="s">
        <v>24</v>
      </c>
      <c r="B86" s="29" t="s">
        <v>119</v>
      </c>
      <c r="C86" s="4">
        <v>25272</v>
      </c>
      <c r="D86" s="4">
        <v>30605</v>
      </c>
      <c r="E86" s="4">
        <v>49159</v>
      </c>
      <c r="F86" s="4">
        <v>48603</v>
      </c>
    </row>
    <row r="87" spans="1:6" ht="12.75">
      <c r="A87" s="6" t="s">
        <v>25</v>
      </c>
      <c r="B87" s="29" t="s">
        <v>120</v>
      </c>
      <c r="C87" s="4"/>
      <c r="D87" s="4"/>
      <c r="E87" s="4"/>
      <c r="F87" s="4"/>
    </row>
    <row r="88" spans="1:6" ht="12.75">
      <c r="A88" s="6" t="s">
        <v>26</v>
      </c>
      <c r="B88" s="29" t="s">
        <v>121</v>
      </c>
      <c r="C88" s="4"/>
      <c r="D88" s="4"/>
      <c r="E88" s="4"/>
      <c r="F88" s="4"/>
    </row>
    <row r="89" spans="1:6" ht="12.75">
      <c r="A89" s="6" t="s">
        <v>27</v>
      </c>
      <c r="B89" s="29" t="s">
        <v>144</v>
      </c>
      <c r="C89" s="4">
        <v>2644</v>
      </c>
      <c r="D89" s="4">
        <v>2708</v>
      </c>
      <c r="E89" s="4">
        <v>2988</v>
      </c>
      <c r="F89" s="4">
        <v>2964</v>
      </c>
    </row>
    <row r="90" spans="1:6" ht="12.75">
      <c r="A90" s="6" t="s">
        <v>28</v>
      </c>
      <c r="B90" s="29" t="s">
        <v>122</v>
      </c>
      <c r="C90" s="4">
        <v>34341</v>
      </c>
      <c r="D90" s="4">
        <v>17639</v>
      </c>
      <c r="E90" s="4">
        <v>18385</v>
      </c>
      <c r="F90" s="4">
        <v>16892</v>
      </c>
    </row>
    <row r="91" spans="1:6" ht="12.75">
      <c r="A91" s="6" t="s">
        <v>29</v>
      </c>
      <c r="B91" s="29" t="s">
        <v>123</v>
      </c>
      <c r="C91" s="4"/>
      <c r="D91" s="4"/>
      <c r="E91" s="4"/>
      <c r="F91" s="4"/>
    </row>
    <row r="92" spans="1:6" ht="12.75">
      <c r="A92" s="6" t="s">
        <v>30</v>
      </c>
      <c r="B92" s="29" t="s">
        <v>124</v>
      </c>
      <c r="C92" s="4">
        <v>1035</v>
      </c>
      <c r="D92" s="4">
        <v>1090</v>
      </c>
      <c r="E92" s="31">
        <v>1090</v>
      </c>
      <c r="F92" s="31">
        <v>1090</v>
      </c>
    </row>
    <row r="93" spans="1:6" ht="12.75">
      <c r="A93" s="6" t="s">
        <v>31</v>
      </c>
      <c r="B93" s="29" t="s">
        <v>125</v>
      </c>
      <c r="C93" s="4"/>
      <c r="D93" s="4"/>
      <c r="E93" s="4"/>
      <c r="F93" s="4"/>
    </row>
    <row r="94" spans="1:6" ht="12.75">
      <c r="A94" s="6" t="s">
        <v>32</v>
      </c>
      <c r="B94" s="29" t="s">
        <v>126</v>
      </c>
      <c r="C94" s="4">
        <v>62163</v>
      </c>
      <c r="D94" s="4">
        <v>25299</v>
      </c>
      <c r="E94" s="4">
        <v>21476</v>
      </c>
      <c r="F94" s="4">
        <v>19039</v>
      </c>
    </row>
    <row r="95" spans="1:6" ht="12.75">
      <c r="A95" s="6" t="s">
        <v>92</v>
      </c>
      <c r="B95" s="29" t="s">
        <v>156</v>
      </c>
      <c r="C95" s="4"/>
      <c r="D95" s="4"/>
      <c r="E95" s="4"/>
      <c r="F95" s="4"/>
    </row>
    <row r="96" spans="1:6" ht="12.75">
      <c r="A96" s="6" t="s">
        <v>33</v>
      </c>
      <c r="B96" s="29" t="s">
        <v>127</v>
      </c>
      <c r="C96" s="4">
        <v>77049</v>
      </c>
      <c r="D96" s="4">
        <v>19933</v>
      </c>
      <c r="E96" s="4">
        <v>12607</v>
      </c>
      <c r="F96" s="4">
        <v>12520</v>
      </c>
    </row>
    <row r="97" spans="1:6" ht="12.75">
      <c r="A97" s="6" t="s">
        <v>34</v>
      </c>
      <c r="B97" s="29" t="s">
        <v>128</v>
      </c>
      <c r="C97" s="4"/>
      <c r="D97" s="4"/>
      <c r="E97" s="4"/>
      <c r="F97" s="4"/>
    </row>
    <row r="98" spans="1:6" ht="12.75">
      <c r="A98" s="6" t="s">
        <v>35</v>
      </c>
      <c r="B98" s="29" t="s">
        <v>129</v>
      </c>
      <c r="C98" s="4">
        <v>0</v>
      </c>
      <c r="D98" s="4">
        <v>14544</v>
      </c>
      <c r="E98" s="4">
        <v>15090</v>
      </c>
      <c r="F98" s="4">
        <v>15298</v>
      </c>
    </row>
    <row r="99" spans="1:6" ht="12.75">
      <c r="A99" s="6" t="s">
        <v>36</v>
      </c>
      <c r="B99" s="29" t="s">
        <v>157</v>
      </c>
      <c r="C99" s="4">
        <v>588164</v>
      </c>
      <c r="D99" s="4">
        <v>282016</v>
      </c>
      <c r="E99" s="4">
        <v>229775</v>
      </c>
      <c r="F99" s="4">
        <v>224796</v>
      </c>
    </row>
    <row r="100" spans="1:6" ht="12.75">
      <c r="A100" s="6" t="s">
        <v>37</v>
      </c>
      <c r="B100" s="29" t="s">
        <v>130</v>
      </c>
      <c r="C100" s="4">
        <v>4942</v>
      </c>
      <c r="D100" s="4">
        <v>5989</v>
      </c>
      <c r="E100" s="4">
        <v>9611</v>
      </c>
      <c r="F100" s="4">
        <v>11563</v>
      </c>
    </row>
    <row r="101" spans="1:6" ht="12.75">
      <c r="A101" s="6" t="s">
        <v>38</v>
      </c>
      <c r="B101" s="29" t="s">
        <v>131</v>
      </c>
      <c r="C101" s="4">
        <v>315450</v>
      </c>
      <c r="D101" s="4">
        <v>143904</v>
      </c>
      <c r="E101" s="4">
        <v>111741</v>
      </c>
      <c r="F101" s="4">
        <v>111899</v>
      </c>
    </row>
    <row r="102" spans="1:6" ht="12.75">
      <c r="A102" s="6" t="s">
        <v>39</v>
      </c>
      <c r="B102" s="29" t="s">
        <v>132</v>
      </c>
      <c r="C102" s="4"/>
      <c r="D102" s="4"/>
      <c r="E102" s="4"/>
      <c r="F102" s="4"/>
    </row>
    <row r="103" spans="1:6" ht="12.75">
      <c r="A103" s="6" t="s">
        <v>40</v>
      </c>
      <c r="B103" s="29" t="s">
        <v>133</v>
      </c>
      <c r="C103" s="4">
        <v>0</v>
      </c>
      <c r="D103" s="4">
        <v>62454</v>
      </c>
      <c r="E103" s="4">
        <v>20260</v>
      </c>
      <c r="F103" s="4">
        <v>22050</v>
      </c>
    </row>
    <row r="104" spans="1:6" ht="12.75">
      <c r="A104" s="6" t="s">
        <v>41</v>
      </c>
      <c r="B104" s="29" t="s">
        <v>134</v>
      </c>
      <c r="C104" s="4">
        <v>41355</v>
      </c>
      <c r="D104" s="4">
        <v>78468</v>
      </c>
      <c r="E104" s="4">
        <v>66543</v>
      </c>
      <c r="F104" s="4">
        <v>62777</v>
      </c>
    </row>
    <row r="105" spans="1:6" ht="12.75">
      <c r="A105" s="6" t="s">
        <v>42</v>
      </c>
      <c r="B105" s="29" t="s">
        <v>135</v>
      </c>
      <c r="C105" s="4">
        <v>2000</v>
      </c>
      <c r="D105" s="4">
        <v>2953</v>
      </c>
      <c r="E105" s="4">
        <v>2029</v>
      </c>
      <c r="F105" s="4">
        <v>2062</v>
      </c>
    </row>
    <row r="106" spans="1:6" ht="12.75">
      <c r="A106" s="6" t="s">
        <v>43</v>
      </c>
      <c r="B106" s="29" t="s">
        <v>136</v>
      </c>
      <c r="C106" s="4">
        <v>8263</v>
      </c>
      <c r="D106" s="4">
        <v>20830</v>
      </c>
      <c r="E106" s="4">
        <v>19800</v>
      </c>
      <c r="F106" s="4">
        <v>18764</v>
      </c>
    </row>
    <row r="107" spans="1:6" ht="12.75">
      <c r="A107" s="6" t="s">
        <v>44</v>
      </c>
      <c r="B107" s="29" t="s">
        <v>137</v>
      </c>
      <c r="C107" s="4"/>
      <c r="D107" s="4"/>
      <c r="E107" s="4"/>
      <c r="F107" s="4"/>
    </row>
    <row r="108" spans="1:6" ht="12.75">
      <c r="A108" s="6" t="s">
        <v>45</v>
      </c>
      <c r="B108" s="29" t="s">
        <v>158</v>
      </c>
      <c r="C108" s="4">
        <v>0</v>
      </c>
      <c r="D108" s="4">
        <v>102110</v>
      </c>
      <c r="E108" s="4">
        <v>50064</v>
      </c>
      <c r="F108" s="4">
        <v>53634</v>
      </c>
    </row>
    <row r="111" spans="1:2" ht="18">
      <c r="A111" s="1" t="s">
        <v>169</v>
      </c>
      <c r="B111" s="1"/>
    </row>
    <row r="112" spans="1:2" ht="12.75">
      <c r="A112" t="s">
        <v>0</v>
      </c>
      <c r="B112"/>
    </row>
    <row r="113" spans="1:4" ht="12.75">
      <c r="A113" t="s">
        <v>1</v>
      </c>
      <c r="B113"/>
      <c r="C113" s="2" t="s">
        <v>171</v>
      </c>
      <c r="D113" s="2"/>
    </row>
    <row r="114" spans="1:2" ht="12.75">
      <c r="A114"/>
      <c r="B114"/>
    </row>
    <row r="115" spans="1:3" ht="12.75">
      <c r="A115" t="s">
        <v>2</v>
      </c>
      <c r="B115"/>
      <c r="C115" t="s">
        <v>3</v>
      </c>
    </row>
    <row r="116" spans="1:3" ht="12.75">
      <c r="A116" t="s">
        <v>4</v>
      </c>
      <c r="B116"/>
      <c r="C116" s="15" t="s">
        <v>94</v>
      </c>
    </row>
    <row r="117" spans="1:3" ht="12.75">
      <c r="A117" t="s">
        <v>5</v>
      </c>
      <c r="B117"/>
      <c r="C117" t="s">
        <v>87</v>
      </c>
    </row>
    <row r="118" spans="1:3" ht="12.75">
      <c r="A118" t="s">
        <v>6</v>
      </c>
      <c r="B118"/>
      <c r="C118" t="s">
        <v>88</v>
      </c>
    </row>
    <row r="119" spans="1:2" ht="12.75">
      <c r="A119"/>
      <c r="B119"/>
    </row>
    <row r="120" spans="1:2" ht="12.75">
      <c r="A120"/>
      <c r="B120"/>
    </row>
    <row r="121" spans="1:6" ht="12.75">
      <c r="A121" s="6" t="s">
        <v>7</v>
      </c>
      <c r="B121" s="6"/>
      <c r="C121" s="29">
        <v>1990</v>
      </c>
      <c r="D121" s="29">
        <v>2000</v>
      </c>
      <c r="E121" s="29">
        <v>2007</v>
      </c>
      <c r="F121" s="29">
        <v>2008</v>
      </c>
    </row>
    <row r="122" spans="1:6" ht="12.75">
      <c r="A122" s="6" t="s">
        <v>8</v>
      </c>
      <c r="B122" s="29" t="s">
        <v>112</v>
      </c>
      <c r="C122" s="4">
        <v>13247</v>
      </c>
      <c r="D122" s="4">
        <v>23874</v>
      </c>
      <c r="E122" s="4">
        <v>37553</v>
      </c>
      <c r="F122" s="4">
        <v>38696</v>
      </c>
    </row>
    <row r="123" spans="1:6" ht="12.75">
      <c r="A123" s="6" t="s">
        <v>9</v>
      </c>
      <c r="B123" s="29" t="s">
        <v>113</v>
      </c>
      <c r="C123" s="4">
        <v>9331</v>
      </c>
      <c r="D123" s="4">
        <v>21591</v>
      </c>
      <c r="E123" s="4">
        <v>26409</v>
      </c>
      <c r="F123" s="4">
        <v>28516</v>
      </c>
    </row>
    <row r="124" spans="1:6" ht="12.75">
      <c r="A124" s="6" t="s">
        <v>10</v>
      </c>
      <c r="B124" s="29" t="s">
        <v>114</v>
      </c>
      <c r="C124" s="4">
        <v>65710</v>
      </c>
      <c r="D124" s="4">
        <v>36981</v>
      </c>
      <c r="E124" s="4">
        <v>42022</v>
      </c>
      <c r="F124" s="4">
        <v>50046</v>
      </c>
    </row>
    <row r="125" spans="1:6" ht="12.75">
      <c r="A125" s="6" t="s">
        <v>11</v>
      </c>
      <c r="B125" s="29" t="s">
        <v>144</v>
      </c>
      <c r="C125" s="4">
        <v>11741</v>
      </c>
      <c r="D125" s="4">
        <v>8783</v>
      </c>
      <c r="E125" s="4">
        <v>8676</v>
      </c>
      <c r="F125" s="4">
        <v>8986</v>
      </c>
    </row>
    <row r="126" spans="1:6" ht="12.75">
      <c r="A126" s="6" t="s">
        <v>12</v>
      </c>
      <c r="B126" s="29" t="s">
        <v>115</v>
      </c>
      <c r="C126" s="4"/>
      <c r="D126" s="4"/>
      <c r="E126" s="4"/>
      <c r="F126" s="4"/>
    </row>
    <row r="127" spans="1:6" ht="12.75">
      <c r="A127" s="6" t="s">
        <v>13</v>
      </c>
      <c r="B127" s="29" t="s">
        <v>145</v>
      </c>
      <c r="C127" s="4">
        <v>88463</v>
      </c>
      <c r="D127" s="4">
        <v>88145</v>
      </c>
      <c r="E127" s="4">
        <v>82390</v>
      </c>
      <c r="F127" s="4">
        <v>84217</v>
      </c>
    </row>
    <row r="128" spans="1:6" ht="12.75">
      <c r="A128" s="6" t="s">
        <v>89</v>
      </c>
      <c r="B128" s="29" t="s">
        <v>146</v>
      </c>
      <c r="C128" s="4">
        <v>448383</v>
      </c>
      <c r="D128" s="4">
        <v>255961</v>
      </c>
      <c r="E128" s="4">
        <v>348094</v>
      </c>
      <c r="F128" s="4">
        <v>355388</v>
      </c>
    </row>
    <row r="129" spans="1:6" ht="12.75">
      <c r="A129" s="6" t="s">
        <v>14</v>
      </c>
      <c r="B129" s="29" t="s">
        <v>116</v>
      </c>
      <c r="C129" s="4">
        <v>53656</v>
      </c>
      <c r="D129" s="4">
        <v>88734</v>
      </c>
      <c r="E129" s="4">
        <v>81410</v>
      </c>
      <c r="F129" s="4">
        <v>82048</v>
      </c>
    </row>
    <row r="130" spans="1:6" ht="12.75">
      <c r="A130" s="6" t="s">
        <v>90</v>
      </c>
      <c r="B130" s="29" t="s">
        <v>147</v>
      </c>
      <c r="C130" s="4">
        <v>545823</v>
      </c>
      <c r="D130" s="4">
        <v>520554</v>
      </c>
      <c r="E130" s="4">
        <v>731244</v>
      </c>
      <c r="F130" s="4">
        <v>736616</v>
      </c>
    </row>
    <row r="131" spans="1:6" ht="12.75">
      <c r="A131" s="6" t="s">
        <v>15</v>
      </c>
      <c r="B131" s="30" t="s">
        <v>148</v>
      </c>
      <c r="C131" s="4">
        <v>545823</v>
      </c>
      <c r="D131" s="4">
        <v>521728</v>
      </c>
      <c r="E131" s="4">
        <v>724563</v>
      </c>
      <c r="F131" s="4">
        <v>729486</v>
      </c>
    </row>
    <row r="132" spans="1:6" ht="12.75">
      <c r="A132" s="6" t="s">
        <v>16</v>
      </c>
      <c r="B132" s="29" t="s">
        <v>149</v>
      </c>
      <c r="C132" s="4">
        <v>551352</v>
      </c>
      <c r="D132" s="4">
        <v>527233</v>
      </c>
      <c r="E132" s="4">
        <v>731244</v>
      </c>
      <c r="F132" s="4">
        <v>736616</v>
      </c>
    </row>
    <row r="133" spans="1:6" ht="12.75">
      <c r="A133" s="6" t="s">
        <v>17</v>
      </c>
      <c r="B133" s="29" t="s">
        <v>150</v>
      </c>
      <c r="C133" s="4">
        <v>551352</v>
      </c>
      <c r="D133" s="4">
        <v>527233</v>
      </c>
      <c r="E133" s="4">
        <v>731244</v>
      </c>
      <c r="F133" s="4">
        <v>736616</v>
      </c>
    </row>
    <row r="134" spans="1:6" ht="12.75">
      <c r="A134" s="6" t="s">
        <v>18</v>
      </c>
      <c r="B134" s="29" t="s">
        <v>151</v>
      </c>
      <c r="C134" s="4">
        <v>573293</v>
      </c>
      <c r="D134" s="4">
        <v>527233</v>
      </c>
      <c r="E134" s="4">
        <v>749442</v>
      </c>
      <c r="F134" s="4">
        <v>753131</v>
      </c>
    </row>
    <row r="135" spans="1:6" ht="12.75">
      <c r="A135" s="6" t="s">
        <v>19</v>
      </c>
      <c r="B135" s="29" t="s">
        <v>117</v>
      </c>
      <c r="C135" s="4">
        <v>38636</v>
      </c>
      <c r="D135" s="4">
        <v>10349</v>
      </c>
      <c r="E135" s="4">
        <v>7690</v>
      </c>
      <c r="F135" s="4">
        <v>7062</v>
      </c>
    </row>
    <row r="136" spans="1:6" ht="12.75">
      <c r="A136" s="6" t="s">
        <v>91</v>
      </c>
      <c r="B136" s="29" t="s">
        <v>152</v>
      </c>
      <c r="C136" s="4">
        <v>637787</v>
      </c>
      <c r="D136" s="4">
        <v>675651</v>
      </c>
      <c r="E136" s="4">
        <v>902457</v>
      </c>
      <c r="F136" s="4">
        <v>911887</v>
      </c>
    </row>
    <row r="137" spans="1:6" ht="12.75">
      <c r="A137" s="6" t="s">
        <v>20</v>
      </c>
      <c r="B137" s="29" t="s">
        <v>118</v>
      </c>
      <c r="C137" s="4">
        <v>180</v>
      </c>
      <c r="D137" s="4">
        <v>0</v>
      </c>
      <c r="E137" s="4">
        <v>0</v>
      </c>
      <c r="F137" s="4">
        <v>0</v>
      </c>
    </row>
    <row r="138" spans="1:6" ht="12.75">
      <c r="A138" s="6" t="s">
        <v>21</v>
      </c>
      <c r="B138" s="29" t="s">
        <v>153</v>
      </c>
      <c r="C138" s="4">
        <v>636258</v>
      </c>
      <c r="D138" s="4">
        <v>673418</v>
      </c>
      <c r="E138" s="4">
        <v>897550</v>
      </c>
      <c r="F138" s="4">
        <v>908380</v>
      </c>
    </row>
    <row r="139" spans="1:6" ht="12.75">
      <c r="A139" s="6" t="s">
        <v>22</v>
      </c>
      <c r="B139" s="29" t="s">
        <v>154</v>
      </c>
      <c r="C139" s="4">
        <v>1054014</v>
      </c>
      <c r="D139" s="4">
        <v>1021633</v>
      </c>
      <c r="E139" s="4">
        <v>1265364</v>
      </c>
      <c r="F139" s="4">
        <v>1283348</v>
      </c>
    </row>
    <row r="140" spans="1:6" ht="12.75">
      <c r="A140" s="6" t="s">
        <v>23</v>
      </c>
      <c r="B140" s="29" t="s">
        <v>155</v>
      </c>
      <c r="C140" s="4">
        <v>1119724</v>
      </c>
      <c r="D140" s="4">
        <v>1181281</v>
      </c>
      <c r="E140" s="4">
        <v>1393094</v>
      </c>
      <c r="F140" s="4">
        <v>1408020</v>
      </c>
    </row>
    <row r="141" spans="1:6" ht="12.75">
      <c r="A141" s="6" t="s">
        <v>24</v>
      </c>
      <c r="B141" s="29" t="s">
        <v>119</v>
      </c>
      <c r="C141" s="4">
        <v>61560</v>
      </c>
      <c r="D141" s="4">
        <v>90057</v>
      </c>
      <c r="E141" s="4">
        <v>121898</v>
      </c>
      <c r="F141" s="4">
        <v>121488</v>
      </c>
    </row>
    <row r="142" spans="1:6" ht="12.75">
      <c r="A142" s="6" t="s">
        <v>25</v>
      </c>
      <c r="B142" s="29" t="s">
        <v>120</v>
      </c>
      <c r="C142" s="4"/>
      <c r="D142" s="4"/>
      <c r="E142" s="4"/>
      <c r="F142" s="4"/>
    </row>
    <row r="143" spans="1:6" ht="12.75">
      <c r="A143" s="6" t="s">
        <v>26</v>
      </c>
      <c r="B143" s="29" t="s">
        <v>121</v>
      </c>
      <c r="C143" s="4">
        <v>0</v>
      </c>
      <c r="D143" s="4">
        <v>1174</v>
      </c>
      <c r="E143" s="4">
        <v>1737</v>
      </c>
      <c r="F143" s="4">
        <v>1837</v>
      </c>
    </row>
    <row r="144" spans="1:6" ht="12.75">
      <c r="A144" s="6" t="s">
        <v>27</v>
      </c>
      <c r="B144" s="29" t="s">
        <v>144</v>
      </c>
      <c r="C144" s="4">
        <v>11741</v>
      </c>
      <c r="D144" s="4">
        <v>8783</v>
      </c>
      <c r="E144" s="4">
        <v>8676</v>
      </c>
      <c r="F144" s="4">
        <v>8986</v>
      </c>
    </row>
    <row r="145" spans="1:6" ht="12.75">
      <c r="A145" s="6" t="s">
        <v>28</v>
      </c>
      <c r="B145" s="29" t="s">
        <v>122</v>
      </c>
      <c r="C145" s="4">
        <v>36172</v>
      </c>
      <c r="D145" s="4">
        <v>49156</v>
      </c>
      <c r="E145" s="4">
        <v>37907</v>
      </c>
      <c r="F145" s="4">
        <v>38517</v>
      </c>
    </row>
    <row r="146" spans="1:6" ht="12.75">
      <c r="A146" s="6" t="s">
        <v>29</v>
      </c>
      <c r="B146" s="29" t="s">
        <v>123</v>
      </c>
      <c r="C146" s="4"/>
      <c r="D146" s="4"/>
      <c r="E146" s="4"/>
      <c r="F146" s="4"/>
    </row>
    <row r="147" spans="1:6" ht="12.75">
      <c r="A147" s="6" t="s">
        <v>30</v>
      </c>
      <c r="B147" s="29" t="s">
        <v>124</v>
      </c>
      <c r="C147" s="4"/>
      <c r="D147" s="4"/>
      <c r="E147" s="4"/>
      <c r="F147" s="4"/>
    </row>
    <row r="148" spans="1:6" ht="12.75">
      <c r="A148" s="6" t="s">
        <v>31</v>
      </c>
      <c r="B148" s="29" t="s">
        <v>125</v>
      </c>
      <c r="C148" s="4">
        <v>0</v>
      </c>
      <c r="D148" s="4">
        <v>0</v>
      </c>
      <c r="E148" s="4">
        <v>83339</v>
      </c>
      <c r="F148" s="4">
        <v>80815</v>
      </c>
    </row>
    <row r="149" spans="1:6" ht="12.75">
      <c r="A149" s="6" t="s">
        <v>32</v>
      </c>
      <c r="B149" s="29" t="s">
        <v>126</v>
      </c>
      <c r="C149" s="4">
        <v>34009</v>
      </c>
      <c r="D149" s="4">
        <v>17770</v>
      </c>
      <c r="E149" s="4">
        <v>20099</v>
      </c>
      <c r="F149" s="4">
        <v>20052</v>
      </c>
    </row>
    <row r="150" spans="1:6" ht="12.75">
      <c r="A150" s="6" t="s">
        <v>92</v>
      </c>
      <c r="B150" s="29" t="s">
        <v>156</v>
      </c>
      <c r="C150" s="4"/>
      <c r="D150" s="4"/>
      <c r="E150" s="4"/>
      <c r="F150" s="4"/>
    </row>
    <row r="151" spans="1:6" ht="12.75">
      <c r="A151" s="6" t="s">
        <v>33</v>
      </c>
      <c r="B151" s="29" t="s">
        <v>127</v>
      </c>
      <c r="C151" s="4">
        <v>18280</v>
      </c>
      <c r="D151" s="4">
        <v>11250</v>
      </c>
      <c r="E151" s="4">
        <v>15635</v>
      </c>
      <c r="F151" s="4">
        <v>13680</v>
      </c>
    </row>
    <row r="152" spans="1:6" ht="12.75">
      <c r="A152" s="6" t="s">
        <v>34</v>
      </c>
      <c r="B152" s="29" t="s">
        <v>128</v>
      </c>
      <c r="C152" s="4"/>
      <c r="D152" s="4"/>
      <c r="E152" s="4"/>
      <c r="F152" s="4"/>
    </row>
    <row r="153" spans="1:6" ht="12.75">
      <c r="A153" s="6" t="s">
        <v>35</v>
      </c>
      <c r="B153" s="29" t="s">
        <v>129</v>
      </c>
      <c r="C153" s="4">
        <v>11934</v>
      </c>
      <c r="D153" s="4">
        <v>126941</v>
      </c>
      <c r="E153" s="4">
        <v>103943</v>
      </c>
      <c r="F153" s="4">
        <v>101060</v>
      </c>
    </row>
    <row r="154" spans="1:6" ht="12.75">
      <c r="A154" s="6" t="s">
        <v>36</v>
      </c>
      <c r="B154" s="29" t="s">
        <v>157</v>
      </c>
      <c r="C154" s="4">
        <v>417756</v>
      </c>
      <c r="D154" s="4">
        <v>348215</v>
      </c>
      <c r="E154" s="4">
        <v>367814</v>
      </c>
      <c r="F154" s="4">
        <v>374968</v>
      </c>
    </row>
    <row r="155" spans="1:6" ht="12.75">
      <c r="A155" s="6" t="s">
        <v>37</v>
      </c>
      <c r="B155" s="29" t="s">
        <v>130</v>
      </c>
      <c r="C155" s="4">
        <v>1529</v>
      </c>
      <c r="D155" s="4">
        <v>2233</v>
      </c>
      <c r="E155" s="4">
        <v>4907</v>
      </c>
      <c r="F155" s="4">
        <v>3507</v>
      </c>
    </row>
    <row r="156" spans="1:6" ht="12.75">
      <c r="A156" s="6" t="s">
        <v>38</v>
      </c>
      <c r="B156" s="29" t="s">
        <v>131</v>
      </c>
      <c r="C156" s="4">
        <v>174726</v>
      </c>
      <c r="D156" s="4">
        <v>166040</v>
      </c>
      <c r="E156" s="4">
        <v>179214</v>
      </c>
      <c r="F156" s="4">
        <v>187795</v>
      </c>
    </row>
    <row r="157" spans="1:6" ht="12.75">
      <c r="A157" s="6" t="s">
        <v>39</v>
      </c>
      <c r="B157" s="29" t="s">
        <v>132</v>
      </c>
      <c r="C157" s="4">
        <v>1188</v>
      </c>
      <c r="D157" s="4">
        <v>2130</v>
      </c>
      <c r="E157" s="4">
        <v>1590</v>
      </c>
      <c r="F157" s="4">
        <v>1686</v>
      </c>
    </row>
    <row r="158" spans="1:6" ht="12.75">
      <c r="A158" s="6" t="s">
        <v>40</v>
      </c>
      <c r="B158" s="29" t="s">
        <v>133</v>
      </c>
      <c r="C158" s="4">
        <v>0</v>
      </c>
      <c r="D158" s="4">
        <v>122667</v>
      </c>
      <c r="E158" s="4">
        <v>85708</v>
      </c>
      <c r="F158" s="4">
        <v>74626</v>
      </c>
    </row>
    <row r="159" spans="1:6" ht="12.75">
      <c r="A159" s="6" t="s">
        <v>41</v>
      </c>
      <c r="B159" s="29" t="s">
        <v>134</v>
      </c>
      <c r="C159" s="4">
        <v>36779</v>
      </c>
      <c r="D159" s="4">
        <v>62956</v>
      </c>
      <c r="E159" s="4">
        <v>91577</v>
      </c>
      <c r="F159" s="4">
        <v>96846</v>
      </c>
    </row>
    <row r="160" spans="1:6" ht="12.75">
      <c r="A160" s="6" t="s">
        <v>42</v>
      </c>
      <c r="B160" s="29" t="s">
        <v>135</v>
      </c>
      <c r="C160" s="4">
        <v>5529</v>
      </c>
      <c r="D160" s="4">
        <v>5505</v>
      </c>
      <c r="E160" s="4">
        <v>6681</v>
      </c>
      <c r="F160" s="4">
        <v>7130</v>
      </c>
    </row>
    <row r="161" spans="1:6" ht="12.75">
      <c r="A161" s="6" t="s">
        <v>43</v>
      </c>
      <c r="B161" s="29" t="s">
        <v>136</v>
      </c>
      <c r="C161" s="4">
        <v>21941</v>
      </c>
      <c r="D161" s="4">
        <v>0</v>
      </c>
      <c r="E161" s="4">
        <v>18198</v>
      </c>
      <c r="F161" s="4">
        <v>16515</v>
      </c>
    </row>
    <row r="162" spans="1:6" ht="12.75">
      <c r="A162" s="6" t="s">
        <v>44</v>
      </c>
      <c r="B162" s="29" t="s">
        <v>137</v>
      </c>
      <c r="C162" s="4">
        <v>0</v>
      </c>
      <c r="D162" s="4">
        <v>115</v>
      </c>
      <c r="E162" s="4">
        <v>23909</v>
      </c>
      <c r="F162" s="4">
        <v>22289</v>
      </c>
    </row>
    <row r="163" spans="1:6" ht="12.75">
      <c r="A163" s="6" t="s">
        <v>45</v>
      </c>
      <c r="B163" s="29" t="s">
        <v>158</v>
      </c>
      <c r="C163" s="4">
        <v>0</v>
      </c>
      <c r="D163" s="4">
        <v>0</v>
      </c>
      <c r="E163" s="4">
        <v>0</v>
      </c>
      <c r="F163" s="4">
        <v>0</v>
      </c>
    </row>
    <row r="166" spans="1:2" ht="18">
      <c r="A166" s="1" t="s">
        <v>169</v>
      </c>
      <c r="B166" s="1"/>
    </row>
    <row r="167" spans="1:2" ht="12.75">
      <c r="A167" t="s">
        <v>0</v>
      </c>
      <c r="B167"/>
    </row>
    <row r="168" spans="1:4" ht="12.75">
      <c r="A168" t="s">
        <v>1</v>
      </c>
      <c r="B168"/>
      <c r="C168" s="2" t="s">
        <v>172</v>
      </c>
      <c r="D168" s="2"/>
    </row>
    <row r="169" spans="1:2" ht="12.75">
      <c r="A169"/>
      <c r="B169"/>
    </row>
    <row r="170" spans="1:3" ht="12.75">
      <c r="A170" t="s">
        <v>2</v>
      </c>
      <c r="B170"/>
      <c r="C170" t="s">
        <v>3</v>
      </c>
    </row>
    <row r="171" spans="1:3" ht="12.75">
      <c r="A171" t="s">
        <v>4</v>
      </c>
      <c r="B171"/>
      <c r="C171" s="15" t="s">
        <v>95</v>
      </c>
    </row>
    <row r="172" spans="1:3" ht="12.75">
      <c r="A172" t="s">
        <v>5</v>
      </c>
      <c r="B172"/>
      <c r="C172" t="s">
        <v>87</v>
      </c>
    </row>
    <row r="173" spans="1:3" ht="12.75">
      <c r="A173" t="s">
        <v>6</v>
      </c>
      <c r="B173"/>
      <c r="C173" t="s">
        <v>88</v>
      </c>
    </row>
    <row r="174" spans="1:2" ht="12.75">
      <c r="A174"/>
      <c r="B174"/>
    </row>
    <row r="175" spans="1:2" ht="12.75">
      <c r="A175"/>
      <c r="B175"/>
    </row>
    <row r="176" spans="1:6" ht="12.75">
      <c r="A176" s="6" t="s">
        <v>7</v>
      </c>
      <c r="B176" s="6"/>
      <c r="C176" s="29">
        <v>1990</v>
      </c>
      <c r="D176" s="29">
        <v>2000</v>
      </c>
      <c r="E176" s="29">
        <v>2007</v>
      </c>
      <c r="F176" s="29">
        <v>2008</v>
      </c>
    </row>
    <row r="177" spans="1:6" ht="12.75">
      <c r="A177" s="6" t="s">
        <v>8</v>
      </c>
      <c r="B177" s="29" t="s">
        <v>112</v>
      </c>
      <c r="C177" s="4">
        <v>3980</v>
      </c>
      <c r="D177" s="4">
        <v>4934</v>
      </c>
      <c r="E177" s="4">
        <v>6263</v>
      </c>
      <c r="F177" s="4">
        <v>7246</v>
      </c>
    </row>
    <row r="178" spans="1:6" ht="12.75">
      <c r="A178" s="6" t="s">
        <v>9</v>
      </c>
      <c r="B178" s="29" t="s">
        <v>113</v>
      </c>
      <c r="C178" s="4"/>
      <c r="D178" s="4"/>
      <c r="E178" s="4"/>
      <c r="F178" s="4"/>
    </row>
    <row r="179" spans="1:6" ht="12.75">
      <c r="A179" s="6" t="s">
        <v>10</v>
      </c>
      <c r="B179" s="29" t="s">
        <v>114</v>
      </c>
      <c r="C179" s="4">
        <v>41514</v>
      </c>
      <c r="D179" s="4">
        <v>890</v>
      </c>
      <c r="E179" s="4">
        <v>205</v>
      </c>
      <c r="F179" s="4">
        <v>205</v>
      </c>
    </row>
    <row r="180" spans="1:6" ht="12.75">
      <c r="A180" s="6" t="s">
        <v>11</v>
      </c>
      <c r="B180" s="29" t="s">
        <v>144</v>
      </c>
      <c r="C180" s="4"/>
      <c r="D180" s="4"/>
      <c r="E180" s="4"/>
      <c r="F180" s="4"/>
    </row>
    <row r="181" spans="1:6" ht="12.75">
      <c r="A181" s="6" t="s">
        <v>12</v>
      </c>
      <c r="B181" s="29" t="s">
        <v>115</v>
      </c>
      <c r="C181" s="4"/>
      <c r="D181" s="4"/>
      <c r="E181" s="4"/>
      <c r="F181" s="4"/>
    </row>
    <row r="182" spans="1:6" ht="12.75">
      <c r="A182" s="6" t="s">
        <v>13</v>
      </c>
      <c r="B182" s="29" t="s">
        <v>145</v>
      </c>
      <c r="C182" s="4">
        <v>29259</v>
      </c>
      <c r="D182" s="4">
        <v>15596</v>
      </c>
      <c r="E182" s="4">
        <v>12396</v>
      </c>
      <c r="F182" s="4">
        <v>11389</v>
      </c>
    </row>
    <row r="183" spans="1:6" ht="12.75">
      <c r="A183" s="6" t="s">
        <v>89</v>
      </c>
      <c r="B183" s="29" t="s">
        <v>146</v>
      </c>
      <c r="C183" s="4">
        <v>0</v>
      </c>
      <c r="D183" s="4">
        <v>0</v>
      </c>
      <c r="E183" s="4">
        <v>0</v>
      </c>
      <c r="F183" s="4">
        <v>0</v>
      </c>
    </row>
    <row r="184" spans="1:6" ht="12.75">
      <c r="A184" s="6" t="s">
        <v>14</v>
      </c>
      <c r="B184" s="29" t="s">
        <v>116</v>
      </c>
      <c r="C184" s="4">
        <v>694</v>
      </c>
      <c r="D184" s="4">
        <v>8375</v>
      </c>
      <c r="E184" s="4">
        <v>16029</v>
      </c>
      <c r="F184" s="4">
        <v>16581</v>
      </c>
    </row>
    <row r="185" spans="1:6" ht="12.75">
      <c r="A185" s="6" t="s">
        <v>90</v>
      </c>
      <c r="B185" s="29" t="s">
        <v>147</v>
      </c>
      <c r="C185" s="4">
        <v>7104</v>
      </c>
      <c r="D185" s="4">
        <v>27669</v>
      </c>
      <c r="E185" s="4">
        <v>183893</v>
      </c>
      <c r="F185" s="4">
        <v>178694</v>
      </c>
    </row>
    <row r="186" spans="1:6" ht="12.75">
      <c r="A186" s="6" t="s">
        <v>15</v>
      </c>
      <c r="B186" s="30" t="s">
        <v>148</v>
      </c>
      <c r="C186" s="4">
        <v>7104</v>
      </c>
      <c r="D186" s="4">
        <v>27669</v>
      </c>
      <c r="E186" s="4">
        <v>183744</v>
      </c>
      <c r="F186" s="4">
        <v>178558</v>
      </c>
    </row>
    <row r="187" spans="1:6" ht="12.75">
      <c r="A187" s="6" t="s">
        <v>16</v>
      </c>
      <c r="B187" s="29" t="s">
        <v>149</v>
      </c>
      <c r="C187" s="4">
        <v>7904</v>
      </c>
      <c r="D187" s="4">
        <v>28600</v>
      </c>
      <c r="E187" s="4">
        <v>183893</v>
      </c>
      <c r="F187" s="4">
        <v>178694</v>
      </c>
    </row>
    <row r="188" spans="1:6" ht="12.75">
      <c r="A188" s="6" t="s">
        <v>17</v>
      </c>
      <c r="B188" s="29" t="s">
        <v>150</v>
      </c>
      <c r="C188" s="4">
        <v>7904</v>
      </c>
      <c r="D188" s="4">
        <v>28600</v>
      </c>
      <c r="E188" s="4">
        <v>183893</v>
      </c>
      <c r="F188" s="4">
        <v>178694</v>
      </c>
    </row>
    <row r="189" spans="1:6" ht="12.75">
      <c r="A189" s="6" t="s">
        <v>18</v>
      </c>
      <c r="B189" s="29" t="s">
        <v>151</v>
      </c>
      <c r="C189" s="4">
        <v>11252</v>
      </c>
      <c r="D189" s="4">
        <v>31504</v>
      </c>
      <c r="E189" s="4">
        <v>186501</v>
      </c>
      <c r="F189" s="4">
        <v>181210</v>
      </c>
    </row>
    <row r="190" spans="1:6" ht="12.75">
      <c r="A190" s="6" t="s">
        <v>19</v>
      </c>
      <c r="B190" s="29" t="s">
        <v>117</v>
      </c>
      <c r="C190" s="4">
        <v>1650</v>
      </c>
      <c r="D190" s="4">
        <v>247</v>
      </c>
      <c r="E190" s="4">
        <v>202</v>
      </c>
      <c r="F190" s="4">
        <v>171</v>
      </c>
    </row>
    <row r="191" spans="1:6" ht="12.75">
      <c r="A191" s="6" t="s">
        <v>91</v>
      </c>
      <c r="B191" s="29" t="s">
        <v>152</v>
      </c>
      <c r="C191" s="4">
        <v>7798</v>
      </c>
      <c r="D191" s="4">
        <v>52762</v>
      </c>
      <c r="E191" s="4">
        <v>219119</v>
      </c>
      <c r="F191" s="4">
        <v>213148</v>
      </c>
    </row>
    <row r="192" spans="1:6" ht="12.75">
      <c r="A192" s="6" t="s">
        <v>20</v>
      </c>
      <c r="B192" s="29" t="s">
        <v>118</v>
      </c>
      <c r="C192" s="4"/>
      <c r="D192" s="4"/>
      <c r="E192" s="4"/>
      <c r="F192" s="4"/>
    </row>
    <row r="193" spans="1:6" ht="12.75">
      <c r="A193" s="6" t="s">
        <v>21</v>
      </c>
      <c r="B193" s="29" t="s">
        <v>153</v>
      </c>
      <c r="C193" s="4">
        <v>7798</v>
      </c>
      <c r="D193" s="4">
        <v>52762</v>
      </c>
      <c r="E193" s="4">
        <v>219119</v>
      </c>
      <c r="F193" s="4">
        <v>213148</v>
      </c>
    </row>
    <row r="194" spans="1:6" ht="12.75">
      <c r="A194" s="6" t="s">
        <v>22</v>
      </c>
      <c r="B194" s="29" t="s">
        <v>154</v>
      </c>
      <c r="C194" s="4">
        <v>302090</v>
      </c>
      <c r="D194" s="4">
        <v>108339</v>
      </c>
      <c r="E194" s="4">
        <v>270822</v>
      </c>
      <c r="F194" s="4">
        <v>246021</v>
      </c>
    </row>
    <row r="195" spans="1:6" ht="12.75">
      <c r="A195" s="6" t="s">
        <v>23</v>
      </c>
      <c r="B195" s="29" t="s">
        <v>155</v>
      </c>
      <c r="C195" s="4">
        <v>343604</v>
      </c>
      <c r="D195" s="4">
        <v>114889</v>
      </c>
      <c r="E195" s="4">
        <v>275222</v>
      </c>
      <c r="F195" s="4">
        <v>250245</v>
      </c>
    </row>
    <row r="196" spans="1:6" ht="12.75">
      <c r="A196" s="6" t="s">
        <v>24</v>
      </c>
      <c r="B196" s="29" t="s">
        <v>119</v>
      </c>
      <c r="C196" s="4">
        <v>0</v>
      </c>
      <c r="D196" s="4">
        <v>4534</v>
      </c>
      <c r="E196" s="4">
        <v>21071</v>
      </c>
      <c r="F196" s="4">
        <v>18946</v>
      </c>
    </row>
    <row r="197" spans="1:6" ht="12.75">
      <c r="A197" s="6" t="s">
        <v>25</v>
      </c>
      <c r="B197" s="29" t="s">
        <v>120</v>
      </c>
      <c r="C197" s="4"/>
      <c r="D197" s="4"/>
      <c r="E197" s="4"/>
      <c r="F197" s="4"/>
    </row>
    <row r="198" spans="1:6" ht="12.75">
      <c r="A198" s="6" t="s">
        <v>26</v>
      </c>
      <c r="B198" s="29" t="s">
        <v>121</v>
      </c>
      <c r="C198" s="4"/>
      <c r="D198" s="4"/>
      <c r="E198" s="4"/>
      <c r="F198" s="4"/>
    </row>
    <row r="199" spans="1:6" ht="12.75">
      <c r="A199" s="6" t="s">
        <v>27</v>
      </c>
      <c r="B199" s="29" t="s">
        <v>144</v>
      </c>
      <c r="C199" s="4"/>
      <c r="D199" s="4"/>
      <c r="E199" s="4"/>
      <c r="F199" s="4"/>
    </row>
    <row r="200" spans="1:6" ht="12.75">
      <c r="A200" s="6" t="s">
        <v>28</v>
      </c>
      <c r="B200" s="29" t="s">
        <v>122</v>
      </c>
      <c r="C200" s="4">
        <v>3341</v>
      </c>
      <c r="D200" s="4">
        <v>1463</v>
      </c>
      <c r="E200" s="4">
        <v>190</v>
      </c>
      <c r="F200" s="4">
        <v>163</v>
      </c>
    </row>
    <row r="201" spans="1:6" ht="12.75">
      <c r="A201" s="6" t="s">
        <v>29</v>
      </c>
      <c r="B201" s="29" t="s">
        <v>123</v>
      </c>
      <c r="C201" s="4"/>
      <c r="D201" s="4"/>
      <c r="E201" s="4"/>
      <c r="F201" s="4"/>
    </row>
    <row r="202" spans="1:6" ht="12.75">
      <c r="A202" s="6" t="s">
        <v>30</v>
      </c>
      <c r="B202" s="29" t="s">
        <v>124</v>
      </c>
      <c r="C202" s="4"/>
      <c r="D202" s="4"/>
      <c r="E202" s="4"/>
      <c r="F202" s="4"/>
    </row>
    <row r="203" spans="1:6" ht="12.75">
      <c r="A203" s="6" t="s">
        <v>31</v>
      </c>
      <c r="B203" s="29" t="s">
        <v>125</v>
      </c>
      <c r="C203" s="4">
        <v>0</v>
      </c>
      <c r="D203" s="4">
        <v>0</v>
      </c>
      <c r="E203" s="4">
        <v>121072</v>
      </c>
      <c r="F203" s="4">
        <v>117558</v>
      </c>
    </row>
    <row r="204" spans="1:6" ht="12.75">
      <c r="A204" s="6" t="s">
        <v>32</v>
      </c>
      <c r="B204" s="29" t="s">
        <v>126</v>
      </c>
      <c r="C204" s="4">
        <v>2391</v>
      </c>
      <c r="D204" s="4">
        <v>3012</v>
      </c>
      <c r="E204" s="4">
        <v>5656</v>
      </c>
      <c r="F204" s="4">
        <v>5340</v>
      </c>
    </row>
    <row r="205" spans="1:6" ht="12.75">
      <c r="A205" s="6" t="s">
        <v>92</v>
      </c>
      <c r="B205" s="29" t="s">
        <v>156</v>
      </c>
      <c r="C205" s="4">
        <v>0</v>
      </c>
      <c r="D205" s="4">
        <v>1127</v>
      </c>
      <c r="E205" s="4">
        <v>2280</v>
      </c>
      <c r="F205" s="4">
        <v>2366</v>
      </c>
    </row>
    <row r="206" spans="1:6" ht="12.75">
      <c r="A206" s="6" t="s">
        <v>33</v>
      </c>
      <c r="B206" s="29" t="s">
        <v>127</v>
      </c>
      <c r="C206" s="4">
        <v>4110</v>
      </c>
      <c r="D206" s="4">
        <v>684</v>
      </c>
      <c r="E206" s="4">
        <v>443</v>
      </c>
      <c r="F206" s="4">
        <v>202</v>
      </c>
    </row>
    <row r="207" spans="1:6" ht="12.75">
      <c r="A207" s="6" t="s">
        <v>34</v>
      </c>
      <c r="B207" s="29" t="s">
        <v>128</v>
      </c>
      <c r="C207" s="4"/>
      <c r="D207" s="4"/>
      <c r="E207" s="4"/>
      <c r="F207" s="4"/>
    </row>
    <row r="208" spans="1:6" ht="12.75">
      <c r="A208" s="6" t="s">
        <v>35</v>
      </c>
      <c r="B208" s="29" t="s">
        <v>129</v>
      </c>
      <c r="C208" s="4">
        <v>3124</v>
      </c>
      <c r="D208" s="4">
        <v>13578</v>
      </c>
      <c r="E208" s="4">
        <v>20516</v>
      </c>
      <c r="F208" s="4">
        <v>20877</v>
      </c>
    </row>
    <row r="209" spans="1:6" ht="12.75">
      <c r="A209" s="6" t="s">
        <v>36</v>
      </c>
      <c r="B209" s="29" t="s">
        <v>157</v>
      </c>
      <c r="C209" s="4">
        <v>294292</v>
      </c>
      <c r="D209" s="4">
        <v>55577</v>
      </c>
      <c r="E209" s="4">
        <v>51703</v>
      </c>
      <c r="F209" s="4">
        <v>32873</v>
      </c>
    </row>
    <row r="210" spans="1:6" ht="12.75">
      <c r="A210" s="6" t="s">
        <v>37</v>
      </c>
      <c r="B210" s="29" t="s">
        <v>130</v>
      </c>
      <c r="C210" s="4">
        <v>0</v>
      </c>
      <c r="D210" s="4">
        <v>0</v>
      </c>
      <c r="E210" s="4">
        <v>0</v>
      </c>
      <c r="F210" s="4">
        <v>0</v>
      </c>
    </row>
    <row r="211" spans="1:6" ht="12.75">
      <c r="A211" s="6" t="s">
        <v>38</v>
      </c>
      <c r="B211" s="29" t="s">
        <v>131</v>
      </c>
      <c r="C211" s="4">
        <v>249393</v>
      </c>
      <c r="D211" s="4">
        <v>30740</v>
      </c>
      <c r="E211" s="4">
        <v>30059</v>
      </c>
      <c r="F211" s="4">
        <v>12956</v>
      </c>
    </row>
    <row r="212" spans="1:6" ht="12.75">
      <c r="A212" s="6" t="s">
        <v>39</v>
      </c>
      <c r="B212" s="29" t="s">
        <v>132</v>
      </c>
      <c r="C212" s="4">
        <v>0</v>
      </c>
      <c r="D212" s="4">
        <v>3496</v>
      </c>
      <c r="E212" s="4">
        <v>12542</v>
      </c>
      <c r="F212" s="4">
        <v>11565</v>
      </c>
    </row>
    <row r="213" spans="1:6" ht="12.75">
      <c r="A213" s="6" t="s">
        <v>40</v>
      </c>
      <c r="B213" s="29" t="s">
        <v>133</v>
      </c>
      <c r="C213" s="4">
        <v>0</v>
      </c>
      <c r="D213" s="4">
        <v>5660</v>
      </c>
      <c r="E213" s="4">
        <v>4195</v>
      </c>
      <c r="F213" s="4">
        <v>4019</v>
      </c>
    </row>
    <row r="214" spans="1:6" ht="12.75">
      <c r="A214" s="6" t="s">
        <v>41</v>
      </c>
      <c r="B214" s="29" t="s">
        <v>134</v>
      </c>
      <c r="C214" s="4">
        <v>0</v>
      </c>
      <c r="D214" s="4">
        <v>16718</v>
      </c>
      <c r="E214" s="4">
        <v>19346</v>
      </c>
      <c r="F214" s="4">
        <v>18009</v>
      </c>
    </row>
    <row r="215" spans="1:6" ht="12.75">
      <c r="A215" s="6" t="s">
        <v>42</v>
      </c>
      <c r="B215" s="29" t="s">
        <v>135</v>
      </c>
      <c r="C215" s="4">
        <v>800</v>
      </c>
      <c r="D215" s="4">
        <v>931</v>
      </c>
      <c r="E215" s="4">
        <v>149</v>
      </c>
      <c r="F215" s="4">
        <v>136</v>
      </c>
    </row>
    <row r="216" spans="1:6" ht="12.75">
      <c r="A216" s="6" t="s">
        <v>43</v>
      </c>
      <c r="B216" s="29" t="s">
        <v>136</v>
      </c>
      <c r="C216" s="4">
        <v>3348</v>
      </c>
      <c r="D216" s="4">
        <v>2904</v>
      </c>
      <c r="E216" s="4">
        <v>2608</v>
      </c>
      <c r="F216" s="4">
        <v>2516</v>
      </c>
    </row>
    <row r="217" spans="1:6" ht="12.75">
      <c r="A217" s="6" t="s">
        <v>44</v>
      </c>
      <c r="B217" s="29" t="s">
        <v>137</v>
      </c>
      <c r="C217" s="4">
        <v>0</v>
      </c>
      <c r="D217" s="4">
        <v>16068</v>
      </c>
      <c r="E217" s="4">
        <v>19303</v>
      </c>
      <c r="F217" s="4">
        <v>20250</v>
      </c>
    </row>
    <row r="218" spans="1:6" ht="12.75">
      <c r="A218" s="6" t="s">
        <v>45</v>
      </c>
      <c r="B218" s="29" t="s">
        <v>158</v>
      </c>
      <c r="C218" s="4"/>
      <c r="D218" s="4"/>
      <c r="E218" s="4"/>
      <c r="F218" s="4"/>
    </row>
    <row r="221" spans="1:2" ht="18">
      <c r="A221" s="1" t="s">
        <v>169</v>
      </c>
      <c r="B221" s="1"/>
    </row>
    <row r="222" spans="1:2" ht="12.75">
      <c r="A222" t="s">
        <v>0</v>
      </c>
      <c r="B222"/>
    </row>
    <row r="223" spans="1:4" ht="12.75">
      <c r="A223" t="s">
        <v>1</v>
      </c>
      <c r="B223"/>
      <c r="C223" s="2" t="s">
        <v>173</v>
      </c>
      <c r="D223" s="2"/>
    </row>
    <row r="224" spans="1:2" ht="12.75">
      <c r="A224"/>
      <c r="B224"/>
    </row>
    <row r="225" spans="1:3" ht="12.75">
      <c r="A225" t="s">
        <v>2</v>
      </c>
      <c r="B225"/>
      <c r="C225" t="s">
        <v>3</v>
      </c>
    </row>
    <row r="226" spans="1:3" ht="12.75">
      <c r="A226" t="s">
        <v>4</v>
      </c>
      <c r="B226"/>
      <c r="C226" s="15" t="s">
        <v>174</v>
      </c>
    </row>
    <row r="227" spans="1:3" ht="12.75">
      <c r="A227" t="s">
        <v>5</v>
      </c>
      <c r="B227"/>
      <c r="C227" t="s">
        <v>87</v>
      </c>
    </row>
    <row r="228" spans="1:3" ht="12.75">
      <c r="A228" t="s">
        <v>6</v>
      </c>
      <c r="B228"/>
      <c r="C228" t="s">
        <v>88</v>
      </c>
    </row>
    <row r="229" spans="1:2" ht="12.75">
      <c r="A229"/>
      <c r="B229"/>
    </row>
    <row r="230" spans="1:2" ht="12.75">
      <c r="A230"/>
      <c r="B230"/>
    </row>
    <row r="231" spans="1:6" ht="12.75">
      <c r="A231" s="6" t="s">
        <v>7</v>
      </c>
      <c r="B231" s="6"/>
      <c r="C231" s="29">
        <v>1990</v>
      </c>
      <c r="D231" s="29">
        <v>2000</v>
      </c>
      <c r="E231" s="29">
        <v>2007</v>
      </c>
      <c r="F231" s="29">
        <v>2008</v>
      </c>
    </row>
    <row r="232" spans="1:6" ht="12.75">
      <c r="A232" s="6" t="s">
        <v>8</v>
      </c>
      <c r="B232" s="29" t="s">
        <v>112</v>
      </c>
      <c r="C232" s="4">
        <v>2083</v>
      </c>
      <c r="D232" s="4">
        <v>7579</v>
      </c>
      <c r="E232" s="4">
        <v>23157</v>
      </c>
      <c r="F232" s="4">
        <v>26633</v>
      </c>
    </row>
    <row r="233" spans="1:6" ht="12.75">
      <c r="A233" s="6" t="s">
        <v>9</v>
      </c>
      <c r="B233" s="29" t="s">
        <v>113</v>
      </c>
      <c r="C233" s="4">
        <v>120</v>
      </c>
      <c r="D233" s="4">
        <v>388</v>
      </c>
      <c r="E233" s="4">
        <v>171</v>
      </c>
      <c r="F233" s="4">
        <v>630</v>
      </c>
    </row>
    <row r="234" spans="1:6" ht="12.75">
      <c r="A234" s="6" t="s">
        <v>10</v>
      </c>
      <c r="B234" s="29" t="s">
        <v>114</v>
      </c>
      <c r="C234" s="4">
        <v>0</v>
      </c>
      <c r="D234" s="4">
        <v>0</v>
      </c>
      <c r="E234" s="4">
        <v>1</v>
      </c>
      <c r="F234" s="4">
        <v>28</v>
      </c>
    </row>
    <row r="235" spans="1:6" ht="12.75">
      <c r="A235" s="6" t="s">
        <v>11</v>
      </c>
      <c r="B235" s="29" t="s">
        <v>144</v>
      </c>
      <c r="C235" s="4">
        <v>0</v>
      </c>
      <c r="D235" s="4">
        <v>0</v>
      </c>
      <c r="E235" s="4">
        <v>0</v>
      </c>
      <c r="F235" s="4">
        <v>0</v>
      </c>
    </row>
    <row r="236" spans="1:6" ht="12.75">
      <c r="A236" s="6" t="s">
        <v>12</v>
      </c>
      <c r="B236" s="29" t="s">
        <v>115</v>
      </c>
      <c r="C236" s="4">
        <v>0</v>
      </c>
      <c r="D236" s="4">
        <v>0</v>
      </c>
      <c r="E236" s="4">
        <v>0</v>
      </c>
      <c r="F236" s="4">
        <v>0</v>
      </c>
    </row>
    <row r="237" spans="1:6" ht="12.75">
      <c r="A237" s="6" t="s">
        <v>13</v>
      </c>
      <c r="B237" s="29" t="s">
        <v>145</v>
      </c>
      <c r="C237" s="4">
        <v>0</v>
      </c>
      <c r="D237" s="4">
        <v>4435</v>
      </c>
      <c r="E237" s="4">
        <v>3364</v>
      </c>
      <c r="F237" s="4">
        <v>3568</v>
      </c>
    </row>
    <row r="238" spans="1:6" ht="12.75">
      <c r="A238" s="6" t="s">
        <v>89</v>
      </c>
      <c r="B238" s="29" t="s">
        <v>146</v>
      </c>
      <c r="C238" s="4">
        <v>10874</v>
      </c>
      <c r="D238" s="4">
        <v>10652</v>
      </c>
      <c r="E238" s="4">
        <v>29556</v>
      </c>
      <c r="F238" s="4">
        <v>33473</v>
      </c>
    </row>
    <row r="239" spans="1:6" ht="12.75">
      <c r="A239" s="6" t="s">
        <v>14</v>
      </c>
      <c r="B239" s="29" t="s">
        <v>116</v>
      </c>
      <c r="C239" s="4">
        <v>16041</v>
      </c>
      <c r="D239" s="4">
        <v>23096</v>
      </c>
      <c r="E239" s="4">
        <v>35808</v>
      </c>
      <c r="F239" s="4">
        <v>36626</v>
      </c>
    </row>
    <row r="240" spans="1:6" ht="12.75">
      <c r="A240" s="6" t="s">
        <v>90</v>
      </c>
      <c r="B240" s="29" t="s">
        <v>147</v>
      </c>
      <c r="C240" s="4">
        <v>25177</v>
      </c>
      <c r="D240" s="4">
        <v>50523</v>
      </c>
      <c r="E240" s="4">
        <v>130263</v>
      </c>
      <c r="F240" s="4">
        <v>147676</v>
      </c>
    </row>
    <row r="241" spans="1:6" ht="12.75">
      <c r="A241" s="6" t="s">
        <v>15</v>
      </c>
      <c r="B241" s="30" t="s">
        <v>148</v>
      </c>
      <c r="C241" s="4">
        <v>25177</v>
      </c>
      <c r="D241" s="4">
        <v>50523</v>
      </c>
      <c r="E241" s="4">
        <v>129854</v>
      </c>
      <c r="F241" s="4">
        <v>147157</v>
      </c>
    </row>
    <row r="242" spans="1:6" ht="12.75">
      <c r="A242" s="6" t="s">
        <v>16</v>
      </c>
      <c r="B242" s="29" t="s">
        <v>149</v>
      </c>
      <c r="C242" s="4">
        <v>25177</v>
      </c>
      <c r="D242" s="4">
        <v>50786</v>
      </c>
      <c r="E242" s="4">
        <v>130263</v>
      </c>
      <c r="F242" s="4">
        <v>147676</v>
      </c>
    </row>
    <row r="243" spans="1:6" ht="12.75">
      <c r="A243" s="6" t="s">
        <v>17</v>
      </c>
      <c r="B243" s="29" t="s">
        <v>150</v>
      </c>
      <c r="C243" s="4">
        <v>25177</v>
      </c>
      <c r="D243" s="4">
        <v>50786</v>
      </c>
      <c r="E243" s="4">
        <v>130263</v>
      </c>
      <c r="F243" s="4">
        <v>147676</v>
      </c>
    </row>
    <row r="244" spans="1:6" ht="12.75">
      <c r="A244" s="6" t="s">
        <v>18</v>
      </c>
      <c r="B244" s="29" t="s">
        <v>151</v>
      </c>
      <c r="C244" s="4">
        <v>25177</v>
      </c>
      <c r="D244" s="4">
        <v>50786</v>
      </c>
      <c r="E244" s="4">
        <v>132043</v>
      </c>
      <c r="F244" s="4">
        <v>149873</v>
      </c>
    </row>
    <row r="245" spans="1:6" ht="12.75">
      <c r="A245" s="6" t="s">
        <v>19</v>
      </c>
      <c r="B245" s="29" t="s">
        <v>117</v>
      </c>
      <c r="C245" s="4">
        <v>0</v>
      </c>
      <c r="D245" s="4">
        <v>0</v>
      </c>
      <c r="E245" s="4">
        <v>3324</v>
      </c>
      <c r="F245" s="4">
        <v>3318</v>
      </c>
    </row>
    <row r="246" spans="1:6" ht="12.75">
      <c r="A246" s="6" t="s">
        <v>91</v>
      </c>
      <c r="B246" s="29" t="s">
        <v>152</v>
      </c>
      <c r="C246" s="4">
        <v>60054</v>
      </c>
      <c r="D246" s="4">
        <v>155788</v>
      </c>
      <c r="E246" s="31">
        <v>155788</v>
      </c>
      <c r="F246" s="31">
        <v>155788</v>
      </c>
    </row>
    <row r="247" spans="1:6" ht="12.75">
      <c r="A247" s="6" t="s">
        <v>20</v>
      </c>
      <c r="B247" s="29" t="s">
        <v>118</v>
      </c>
      <c r="C247" s="4">
        <v>42</v>
      </c>
      <c r="D247" s="4">
        <v>0</v>
      </c>
      <c r="E247" s="4">
        <v>0</v>
      </c>
      <c r="F247" s="4">
        <v>0</v>
      </c>
    </row>
    <row r="248" spans="1:6" ht="12.75">
      <c r="A248" s="6" t="s">
        <v>21</v>
      </c>
      <c r="B248" s="29" t="s">
        <v>153</v>
      </c>
      <c r="C248" s="4">
        <v>58183</v>
      </c>
      <c r="D248" s="4">
        <v>153654</v>
      </c>
      <c r="E248" s="4">
        <v>275301</v>
      </c>
      <c r="F248" s="4">
        <v>297155</v>
      </c>
    </row>
    <row r="249" spans="1:6" ht="12.75">
      <c r="A249" s="6" t="s">
        <v>22</v>
      </c>
      <c r="B249" s="29" t="s">
        <v>154</v>
      </c>
      <c r="C249" s="4">
        <v>70743</v>
      </c>
      <c r="D249" s="4">
        <v>165583</v>
      </c>
      <c r="E249" s="4">
        <v>300089</v>
      </c>
      <c r="F249" s="4">
        <v>325880</v>
      </c>
    </row>
    <row r="250" spans="1:6" ht="12.75">
      <c r="A250" s="6" t="s">
        <v>23</v>
      </c>
      <c r="B250" s="29" t="s">
        <v>155</v>
      </c>
      <c r="C250" s="4">
        <v>70743</v>
      </c>
      <c r="D250" s="4">
        <v>165583</v>
      </c>
      <c r="E250" s="4">
        <v>300841</v>
      </c>
      <c r="F250" s="4">
        <v>326675</v>
      </c>
    </row>
    <row r="251" spans="1:6" ht="12.75">
      <c r="A251" s="6" t="s">
        <v>24</v>
      </c>
      <c r="B251" s="29" t="s">
        <v>119</v>
      </c>
      <c r="C251" s="4">
        <v>0</v>
      </c>
      <c r="D251" s="4">
        <v>16479</v>
      </c>
      <c r="E251" s="4">
        <v>52219</v>
      </c>
      <c r="F251" s="4">
        <v>55880</v>
      </c>
    </row>
    <row r="252" spans="1:6" ht="12.75">
      <c r="A252" s="6" t="s">
        <v>25</v>
      </c>
      <c r="B252" s="29" t="s">
        <v>120</v>
      </c>
      <c r="C252" s="4">
        <v>9999</v>
      </c>
      <c r="D252" s="4">
        <v>11996</v>
      </c>
      <c r="E252" s="4">
        <v>9474</v>
      </c>
      <c r="F252" s="4">
        <v>13909</v>
      </c>
    </row>
    <row r="253" spans="1:6" ht="12.75">
      <c r="A253" s="6" t="s">
        <v>26</v>
      </c>
      <c r="B253" s="29" t="s">
        <v>121</v>
      </c>
      <c r="C253" s="4">
        <v>0</v>
      </c>
      <c r="D253" s="4">
        <v>0</v>
      </c>
      <c r="E253" s="4">
        <v>0</v>
      </c>
      <c r="F253" s="4">
        <v>0</v>
      </c>
    </row>
    <row r="254" spans="1:6" ht="12.75">
      <c r="A254" s="6" t="s">
        <v>27</v>
      </c>
      <c r="B254" s="29" t="s">
        <v>144</v>
      </c>
      <c r="C254" s="4">
        <v>0</v>
      </c>
      <c r="D254" s="4">
        <v>0</v>
      </c>
      <c r="E254" s="4">
        <v>0</v>
      </c>
      <c r="F254" s="4">
        <v>0</v>
      </c>
    </row>
    <row r="255" spans="1:6" ht="12.75">
      <c r="A255" s="6" t="s">
        <v>28</v>
      </c>
      <c r="B255" s="29" t="s">
        <v>122</v>
      </c>
      <c r="C255" s="4">
        <v>399</v>
      </c>
      <c r="D255" s="4">
        <v>563</v>
      </c>
      <c r="E255" s="4">
        <v>1225</v>
      </c>
      <c r="F255" s="4">
        <v>1403</v>
      </c>
    </row>
    <row r="256" spans="1:6" ht="12.75">
      <c r="A256" s="6" t="s">
        <v>29</v>
      </c>
      <c r="B256" s="29" t="s">
        <v>123</v>
      </c>
      <c r="C256" s="4">
        <v>0</v>
      </c>
      <c r="D256" s="4">
        <v>0</v>
      </c>
      <c r="E256" s="4">
        <v>0</v>
      </c>
      <c r="F256" s="4">
        <v>0</v>
      </c>
    </row>
    <row r="257" spans="1:6" ht="12.75">
      <c r="A257" s="6" t="s">
        <v>30</v>
      </c>
      <c r="B257" s="29" t="s">
        <v>124</v>
      </c>
      <c r="C257" s="4">
        <v>0</v>
      </c>
      <c r="D257" s="4">
        <v>23</v>
      </c>
      <c r="E257" s="31">
        <v>23</v>
      </c>
      <c r="F257" s="31">
        <v>23</v>
      </c>
    </row>
    <row r="258" spans="1:6" ht="12.75">
      <c r="A258" s="6" t="s">
        <v>31</v>
      </c>
      <c r="B258" s="29" t="s">
        <v>125</v>
      </c>
      <c r="C258" s="4">
        <v>0</v>
      </c>
      <c r="D258" s="4">
        <v>0</v>
      </c>
      <c r="E258" s="4">
        <v>9639</v>
      </c>
      <c r="F258" s="4">
        <v>10658</v>
      </c>
    </row>
    <row r="259" spans="1:6" ht="12.75">
      <c r="A259" s="6" t="s">
        <v>32</v>
      </c>
      <c r="B259" s="29" t="s">
        <v>126</v>
      </c>
      <c r="C259" s="4">
        <v>415</v>
      </c>
      <c r="D259" s="4">
        <v>1219</v>
      </c>
      <c r="E259" s="4">
        <v>5668</v>
      </c>
      <c r="F259" s="4">
        <v>6885</v>
      </c>
    </row>
    <row r="260" spans="1:6" ht="12.75">
      <c r="A260" s="6" t="s">
        <v>92</v>
      </c>
      <c r="B260" s="29" t="s">
        <v>156</v>
      </c>
      <c r="C260" s="4">
        <v>0</v>
      </c>
      <c r="D260" s="4">
        <v>6</v>
      </c>
      <c r="E260" s="4">
        <v>209</v>
      </c>
      <c r="F260" s="4">
        <v>251</v>
      </c>
    </row>
    <row r="261" spans="1:6" ht="12.75">
      <c r="A261" s="6" t="s">
        <v>33</v>
      </c>
      <c r="B261" s="29" t="s">
        <v>127</v>
      </c>
      <c r="C261" s="4">
        <v>732</v>
      </c>
      <c r="D261" s="4">
        <v>3610</v>
      </c>
      <c r="E261" s="4">
        <v>4301</v>
      </c>
      <c r="F261" s="4">
        <v>4233</v>
      </c>
    </row>
    <row r="262" spans="1:6" ht="12.75">
      <c r="A262" s="6" t="s">
        <v>34</v>
      </c>
      <c r="B262" s="29" t="s">
        <v>128</v>
      </c>
      <c r="C262" s="4">
        <v>0</v>
      </c>
      <c r="D262" s="4">
        <v>0</v>
      </c>
      <c r="E262" s="4">
        <v>0</v>
      </c>
      <c r="F262" s="4">
        <v>0</v>
      </c>
    </row>
    <row r="263" spans="1:6" ht="12.75">
      <c r="A263" s="6" t="s">
        <v>35</v>
      </c>
      <c r="B263" s="29" t="s">
        <v>129</v>
      </c>
      <c r="C263" s="4">
        <v>2059</v>
      </c>
      <c r="D263" s="4">
        <v>3423</v>
      </c>
      <c r="E263" s="4">
        <v>5429</v>
      </c>
      <c r="F263" s="4">
        <v>5723</v>
      </c>
    </row>
    <row r="264" spans="1:6" ht="12.75">
      <c r="A264" s="6" t="s">
        <v>36</v>
      </c>
      <c r="B264" s="29" t="s">
        <v>157</v>
      </c>
      <c r="C264" s="4">
        <v>12560</v>
      </c>
      <c r="D264" s="4">
        <v>11929</v>
      </c>
      <c r="E264" s="4">
        <v>24788</v>
      </c>
      <c r="F264" s="4">
        <v>28725</v>
      </c>
    </row>
    <row r="265" spans="1:6" ht="12.75">
      <c r="A265" s="6" t="s">
        <v>37</v>
      </c>
      <c r="B265" s="29" t="s">
        <v>130</v>
      </c>
      <c r="C265" s="4">
        <v>1871</v>
      </c>
      <c r="D265" s="4">
        <v>2111</v>
      </c>
      <c r="E265" s="4">
        <v>4403</v>
      </c>
      <c r="F265" s="4">
        <v>6081</v>
      </c>
    </row>
    <row r="266" spans="1:6" ht="12.75">
      <c r="A266" s="6" t="s">
        <v>38</v>
      </c>
      <c r="B266" s="29" t="s">
        <v>131</v>
      </c>
      <c r="C266" s="4">
        <v>11014</v>
      </c>
      <c r="D266" s="4">
        <v>1839</v>
      </c>
      <c r="E266" s="4">
        <v>4717</v>
      </c>
      <c r="F266" s="4">
        <v>6602</v>
      </c>
    </row>
    <row r="267" spans="1:6" ht="12.75">
      <c r="A267" s="6" t="s">
        <v>39</v>
      </c>
      <c r="B267" s="29" t="s">
        <v>132</v>
      </c>
      <c r="C267" s="4">
        <v>0</v>
      </c>
      <c r="D267" s="4">
        <v>0</v>
      </c>
      <c r="E267" s="4">
        <v>0</v>
      </c>
      <c r="F267" s="4">
        <v>0</v>
      </c>
    </row>
    <row r="268" spans="1:6" ht="12.75">
      <c r="A268" s="6" t="s">
        <v>40</v>
      </c>
      <c r="B268" s="29" t="s">
        <v>133</v>
      </c>
      <c r="C268" s="4">
        <v>0</v>
      </c>
      <c r="D268" s="4">
        <v>0</v>
      </c>
      <c r="E268" s="4">
        <v>751</v>
      </c>
      <c r="F268" s="4">
        <v>767</v>
      </c>
    </row>
    <row r="269" spans="1:6" ht="12.75">
      <c r="A269" s="6" t="s">
        <v>41</v>
      </c>
      <c r="B269" s="29" t="s">
        <v>134</v>
      </c>
      <c r="C269" s="4">
        <v>16965</v>
      </c>
      <c r="D269" s="4">
        <v>80035</v>
      </c>
      <c r="E269" s="4">
        <v>109639</v>
      </c>
      <c r="F269" s="4">
        <v>113372</v>
      </c>
    </row>
    <row r="270" spans="1:6" ht="12.75">
      <c r="A270" s="6" t="s">
        <v>42</v>
      </c>
      <c r="B270" s="29" t="s">
        <v>135</v>
      </c>
      <c r="C270" s="4">
        <v>0</v>
      </c>
      <c r="D270" s="4">
        <v>263</v>
      </c>
      <c r="E270" s="4">
        <v>409</v>
      </c>
      <c r="F270" s="4">
        <v>519</v>
      </c>
    </row>
    <row r="271" spans="1:6" ht="12.75">
      <c r="A271" s="6" t="s">
        <v>43</v>
      </c>
      <c r="B271" s="29" t="s">
        <v>136</v>
      </c>
      <c r="C271" s="4">
        <v>0</v>
      </c>
      <c r="D271" s="4">
        <v>0</v>
      </c>
      <c r="E271" s="4">
        <v>1780</v>
      </c>
      <c r="F271" s="4">
        <v>2197</v>
      </c>
    </row>
    <row r="272" spans="1:6" ht="12.75">
      <c r="A272" s="6" t="s">
        <v>44</v>
      </c>
      <c r="B272" s="29" t="s">
        <v>137</v>
      </c>
      <c r="C272" s="4">
        <v>0</v>
      </c>
      <c r="D272" s="4">
        <v>0</v>
      </c>
      <c r="E272" s="4">
        <v>0</v>
      </c>
      <c r="F272" s="4">
        <v>0</v>
      </c>
    </row>
    <row r="273" spans="1:6" ht="12.75">
      <c r="A273" s="6" t="s">
        <v>45</v>
      </c>
      <c r="B273" s="29" t="s">
        <v>158</v>
      </c>
      <c r="C273" s="4">
        <v>0</v>
      </c>
      <c r="D273" s="4">
        <v>0</v>
      </c>
      <c r="E273" s="4">
        <v>0</v>
      </c>
      <c r="F273" s="4">
        <v>0</v>
      </c>
    </row>
    <row r="276" spans="1:2" ht="18">
      <c r="A276" s="1" t="s">
        <v>169</v>
      </c>
      <c r="B276" s="1"/>
    </row>
    <row r="277" spans="1:2" ht="12.75">
      <c r="A277" t="s">
        <v>0</v>
      </c>
      <c r="B277"/>
    </row>
    <row r="278" spans="1:4" ht="12.75">
      <c r="A278" t="s">
        <v>1</v>
      </c>
      <c r="B278"/>
      <c r="C278" s="2" t="s">
        <v>175</v>
      </c>
      <c r="D278" s="2"/>
    </row>
    <row r="279" spans="1:2" ht="12.75">
      <c r="A279"/>
      <c r="B279"/>
    </row>
    <row r="280" spans="1:3" ht="12.75">
      <c r="A280" t="s">
        <v>2</v>
      </c>
      <c r="B280"/>
      <c r="C280" t="s">
        <v>3</v>
      </c>
    </row>
    <row r="281" spans="1:4" ht="12.75">
      <c r="A281" t="s">
        <v>4</v>
      </c>
      <c r="B281"/>
      <c r="C281" s="15" t="s">
        <v>106</v>
      </c>
      <c r="D281" s="15"/>
    </row>
    <row r="282" spans="1:4" ht="12.75">
      <c r="A282" t="s">
        <v>5</v>
      </c>
      <c r="B282"/>
      <c r="C282" s="15" t="s">
        <v>107</v>
      </c>
      <c r="D282" s="15"/>
    </row>
    <row r="283" spans="1:3" ht="12.75">
      <c r="A283" t="s">
        <v>6</v>
      </c>
      <c r="B283"/>
      <c r="C283" t="s">
        <v>105</v>
      </c>
    </row>
    <row r="284" spans="1:2" ht="12.75">
      <c r="A284"/>
      <c r="B284"/>
    </row>
    <row r="285" spans="1:2" ht="12.75">
      <c r="A285"/>
      <c r="B285"/>
    </row>
    <row r="286" spans="1:6" ht="12.75">
      <c r="A286" s="3" t="s">
        <v>7</v>
      </c>
      <c r="B286" s="3"/>
      <c r="C286" s="29">
        <v>1990</v>
      </c>
      <c r="D286" s="29">
        <v>2000</v>
      </c>
      <c r="E286" s="29">
        <v>2007</v>
      </c>
      <c r="F286" s="29">
        <v>2008</v>
      </c>
    </row>
    <row r="287" spans="1:6" ht="12.75">
      <c r="A287" s="6" t="s">
        <v>8</v>
      </c>
      <c r="B287" s="29" t="s">
        <v>112</v>
      </c>
      <c r="C287" s="4">
        <v>28446</v>
      </c>
      <c r="D287" s="4">
        <v>48048</v>
      </c>
      <c r="E287" s="4">
        <v>63888</v>
      </c>
      <c r="F287" s="4">
        <v>67731</v>
      </c>
    </row>
    <row r="288" spans="1:6" ht="12.75">
      <c r="A288" s="6" t="s">
        <v>9</v>
      </c>
      <c r="B288" s="29" t="s">
        <v>113</v>
      </c>
      <c r="C288" s="4">
        <v>9699</v>
      </c>
      <c r="D288" s="4">
        <v>23118</v>
      </c>
      <c r="E288" s="4">
        <v>26557</v>
      </c>
      <c r="F288" s="4">
        <v>28635</v>
      </c>
    </row>
    <row r="289" spans="1:6" ht="12.75">
      <c r="A289" s="6" t="s">
        <v>10</v>
      </c>
      <c r="B289" s="29" t="s">
        <v>114</v>
      </c>
      <c r="C289" s="4">
        <v>210056</v>
      </c>
      <c r="D289" s="4">
        <v>50631</v>
      </c>
      <c r="E289" s="4">
        <v>52186</v>
      </c>
      <c r="F289" s="4">
        <v>60626</v>
      </c>
    </row>
    <row r="290" spans="1:6" ht="12.75">
      <c r="A290" s="6" t="s">
        <v>11</v>
      </c>
      <c r="B290" s="29" t="s">
        <v>144</v>
      </c>
      <c r="C290" s="4">
        <v>14385</v>
      </c>
      <c r="D290" s="4">
        <v>11491</v>
      </c>
      <c r="E290" s="4">
        <v>11664</v>
      </c>
      <c r="F290" s="4">
        <v>11950</v>
      </c>
    </row>
    <row r="291" spans="1:6" ht="12.75">
      <c r="A291" s="6" t="s">
        <v>12</v>
      </c>
      <c r="B291" s="29" t="s">
        <v>115</v>
      </c>
      <c r="C291" s="4"/>
      <c r="D291" s="4"/>
      <c r="E291" s="4"/>
      <c r="F291" s="4"/>
    </row>
    <row r="292" spans="1:6" ht="12.75">
      <c r="A292" s="6" t="s">
        <v>13</v>
      </c>
      <c r="B292" s="29" t="s">
        <v>145</v>
      </c>
      <c r="C292" s="4">
        <v>154981</v>
      </c>
      <c r="D292" s="4">
        <v>139216</v>
      </c>
      <c r="E292" s="4">
        <v>121376</v>
      </c>
      <c r="F292" s="4">
        <v>122283</v>
      </c>
    </row>
    <row r="293" spans="1:6" ht="12.75">
      <c r="A293" s="6" t="s">
        <v>89</v>
      </c>
      <c r="B293" s="29" t="s">
        <v>146</v>
      </c>
      <c r="C293" s="4">
        <v>448383</v>
      </c>
      <c r="D293" s="4">
        <v>313484</v>
      </c>
      <c r="E293" s="4">
        <v>468885</v>
      </c>
      <c r="F293" s="4">
        <v>479754</v>
      </c>
    </row>
    <row r="294" spans="1:6" ht="12.75">
      <c r="A294" s="6" t="s">
        <v>14</v>
      </c>
      <c r="B294" s="29" t="s">
        <v>116</v>
      </c>
      <c r="C294" s="4">
        <v>92363</v>
      </c>
      <c r="D294" s="4">
        <v>119168</v>
      </c>
      <c r="E294" s="4">
        <v>121930</v>
      </c>
      <c r="F294" s="4">
        <v>123703</v>
      </c>
    </row>
    <row r="295" spans="1:6" ht="12.75">
      <c r="A295" s="6" t="s">
        <v>90</v>
      </c>
      <c r="B295" s="29" t="s">
        <v>147</v>
      </c>
      <c r="C295" s="4">
        <v>589786</v>
      </c>
      <c r="D295" s="4">
        <v>674763</v>
      </c>
      <c r="E295" s="4">
        <v>1122426</v>
      </c>
      <c r="F295" s="4">
        <v>1127547</v>
      </c>
    </row>
    <row r="296" spans="1:6" ht="12.75">
      <c r="A296" s="6" t="s">
        <v>15</v>
      </c>
      <c r="B296" s="30" t="s">
        <v>148</v>
      </c>
      <c r="C296" s="4">
        <v>589786</v>
      </c>
      <c r="D296" s="4">
        <v>675937</v>
      </c>
      <c r="E296" s="4">
        <v>1113567</v>
      </c>
      <c r="F296" s="4">
        <v>1118219</v>
      </c>
    </row>
    <row r="297" spans="1:6" ht="12.75">
      <c r="A297" s="6" t="s">
        <v>16</v>
      </c>
      <c r="B297" s="29" t="s">
        <v>149</v>
      </c>
      <c r="C297" s="4">
        <v>598115</v>
      </c>
      <c r="D297" s="4">
        <v>685326</v>
      </c>
      <c r="E297" s="4">
        <v>1122426</v>
      </c>
      <c r="F297" s="4">
        <v>1127547</v>
      </c>
    </row>
    <row r="298" spans="1:6" ht="12.75">
      <c r="A298" s="6" t="s">
        <v>17</v>
      </c>
      <c r="B298" s="29" t="s">
        <v>150</v>
      </c>
      <c r="C298" s="4">
        <v>598115</v>
      </c>
      <c r="D298" s="4">
        <v>685326</v>
      </c>
      <c r="E298" s="4">
        <v>1122426</v>
      </c>
      <c r="F298" s="4">
        <v>1127547</v>
      </c>
    </row>
    <row r="299" spans="1:6" ht="12.75">
      <c r="A299" s="6" t="s">
        <v>18</v>
      </c>
      <c r="B299" s="29" t="s">
        <v>151</v>
      </c>
      <c r="C299" s="4">
        <v>631667</v>
      </c>
      <c r="D299" s="4">
        <v>722150</v>
      </c>
      <c r="E299" s="4">
        <v>1165067</v>
      </c>
      <c r="F299" s="4">
        <v>1167346</v>
      </c>
    </row>
    <row r="300" spans="1:6" ht="12.75">
      <c r="A300" s="6" t="s">
        <v>19</v>
      </c>
      <c r="B300" s="29" t="s">
        <v>117</v>
      </c>
      <c r="C300" s="4">
        <v>91925</v>
      </c>
      <c r="D300" s="4">
        <v>26579</v>
      </c>
      <c r="E300" s="4">
        <v>26042</v>
      </c>
      <c r="F300" s="4">
        <v>25146</v>
      </c>
    </row>
    <row r="301" spans="1:6" ht="12.75">
      <c r="A301" s="6" t="s">
        <v>91</v>
      </c>
      <c r="B301" s="29" t="s">
        <v>152</v>
      </c>
      <c r="C301" s="4">
        <v>772036</v>
      </c>
      <c r="D301" s="4">
        <v>1071636</v>
      </c>
      <c r="E301" s="31">
        <v>1071636</v>
      </c>
      <c r="F301" s="31">
        <v>1071636</v>
      </c>
    </row>
    <row r="302" spans="1:6" ht="12.75">
      <c r="A302" s="6" t="s">
        <v>20</v>
      </c>
      <c r="B302" s="29" t="s">
        <v>118</v>
      </c>
      <c r="C302" s="4">
        <v>180</v>
      </c>
      <c r="D302" s="4">
        <v>3101</v>
      </c>
      <c r="E302" s="4">
        <v>0</v>
      </c>
      <c r="F302" s="4">
        <v>0</v>
      </c>
    </row>
    <row r="303" spans="1:6" ht="12.75">
      <c r="A303" s="6" t="s">
        <v>21</v>
      </c>
      <c r="B303" s="29" t="s">
        <v>153</v>
      </c>
      <c r="C303" s="4">
        <v>760283</v>
      </c>
      <c r="D303" s="4">
        <v>1055357</v>
      </c>
      <c r="E303" s="4">
        <v>1463027</v>
      </c>
      <c r="F303" s="4">
        <v>1473188</v>
      </c>
    </row>
    <row r="304" spans="1:6" ht="12.75">
      <c r="A304" s="6" t="s">
        <v>22</v>
      </c>
      <c r="B304" s="29" t="s">
        <v>154</v>
      </c>
      <c r="C304" s="4">
        <v>2063231</v>
      </c>
      <c r="D304" s="4">
        <v>1757024</v>
      </c>
      <c r="E304" s="4">
        <v>2117824</v>
      </c>
      <c r="F304" s="4">
        <v>2111230</v>
      </c>
    </row>
    <row r="305" spans="1:6" ht="12.75">
      <c r="A305" s="6" t="s">
        <v>23</v>
      </c>
      <c r="B305" s="29" t="s">
        <v>155</v>
      </c>
      <c r="C305" s="4">
        <v>2273287</v>
      </c>
      <c r="D305" s="4">
        <v>1998436</v>
      </c>
      <c r="E305" s="4">
        <v>2280173</v>
      </c>
      <c r="F305" s="4">
        <v>2272551</v>
      </c>
    </row>
    <row r="306" spans="1:6" ht="12.75">
      <c r="A306" s="6" t="s">
        <v>24</v>
      </c>
      <c r="B306" s="29" t="s">
        <v>119</v>
      </c>
      <c r="C306" s="4">
        <v>86832</v>
      </c>
      <c r="D306" s="4">
        <v>125196</v>
      </c>
      <c r="E306" s="4">
        <v>192128</v>
      </c>
      <c r="F306" s="4">
        <v>189037</v>
      </c>
    </row>
    <row r="307" spans="1:6" ht="12.75">
      <c r="A307" s="6" t="s">
        <v>25</v>
      </c>
      <c r="B307" s="29" t="s">
        <v>120</v>
      </c>
      <c r="C307" s="4"/>
      <c r="D307" s="4"/>
      <c r="E307" s="4"/>
      <c r="F307" s="4"/>
    </row>
    <row r="308" spans="1:6" ht="12.75">
      <c r="A308" s="6" t="s">
        <v>26</v>
      </c>
      <c r="B308" s="29" t="s">
        <v>121</v>
      </c>
      <c r="C308" s="4">
        <v>0</v>
      </c>
      <c r="D308" s="4">
        <v>1174</v>
      </c>
      <c r="E308" s="4">
        <v>1737</v>
      </c>
      <c r="F308" s="4">
        <v>1837</v>
      </c>
    </row>
    <row r="309" spans="1:6" ht="12.75">
      <c r="A309" s="6" t="s">
        <v>27</v>
      </c>
      <c r="B309" s="29" t="s">
        <v>144</v>
      </c>
      <c r="C309" s="4">
        <v>14385</v>
      </c>
      <c r="D309" s="4">
        <v>11491</v>
      </c>
      <c r="E309" s="4">
        <v>11664</v>
      </c>
      <c r="F309" s="4">
        <v>11950</v>
      </c>
    </row>
    <row r="310" spans="1:6" ht="12.75">
      <c r="A310" s="6" t="s">
        <v>28</v>
      </c>
      <c r="B310" s="29" t="s">
        <v>122</v>
      </c>
      <c r="C310" s="4">
        <v>73854</v>
      </c>
      <c r="D310" s="4">
        <v>68864</v>
      </c>
      <c r="E310" s="4">
        <v>57022</v>
      </c>
      <c r="F310" s="4">
        <v>56126</v>
      </c>
    </row>
    <row r="311" spans="1:6" ht="12.75">
      <c r="A311" s="6" t="s">
        <v>29</v>
      </c>
      <c r="B311" s="29" t="s">
        <v>123</v>
      </c>
      <c r="C311" s="4"/>
      <c r="D311" s="4"/>
      <c r="E311" s="4"/>
      <c r="F311" s="4"/>
    </row>
    <row r="312" spans="1:6" ht="12.75">
      <c r="A312" s="6" t="s">
        <v>30</v>
      </c>
      <c r="B312" s="29" t="s">
        <v>124</v>
      </c>
      <c r="C312" s="4">
        <v>5282</v>
      </c>
      <c r="D312" s="4">
        <v>8057</v>
      </c>
      <c r="E312" s="31">
        <v>8057</v>
      </c>
      <c r="F312" s="31">
        <v>8057</v>
      </c>
    </row>
    <row r="313" spans="1:6" ht="12.75">
      <c r="A313" s="6" t="s">
        <v>31</v>
      </c>
      <c r="B313" s="29" t="s">
        <v>125</v>
      </c>
      <c r="C313" s="4">
        <v>0</v>
      </c>
      <c r="D313" s="4">
        <v>0</v>
      </c>
      <c r="E313" s="4">
        <v>204411</v>
      </c>
      <c r="F313" s="4">
        <v>198373</v>
      </c>
    </row>
    <row r="314" spans="1:6" ht="12.75">
      <c r="A314" s="6" t="s">
        <v>32</v>
      </c>
      <c r="B314" s="29" t="s">
        <v>126</v>
      </c>
      <c r="C314" s="4">
        <v>101299</v>
      </c>
      <c r="D314" s="4">
        <v>48244</v>
      </c>
      <c r="E314" s="4">
        <v>49158</v>
      </c>
      <c r="F314" s="4">
        <v>46308</v>
      </c>
    </row>
    <row r="315" spans="1:6" ht="12.75">
      <c r="A315" s="6" t="s">
        <v>92</v>
      </c>
      <c r="B315" s="29" t="s">
        <v>156</v>
      </c>
      <c r="C315" s="4">
        <v>0</v>
      </c>
      <c r="D315" s="4">
        <v>1127</v>
      </c>
      <c r="E315" s="4">
        <v>2280</v>
      </c>
      <c r="F315" s="4">
        <v>2366</v>
      </c>
    </row>
    <row r="316" spans="1:6" ht="12.75">
      <c r="A316" s="6" t="s">
        <v>33</v>
      </c>
      <c r="B316" s="29" t="s">
        <v>127</v>
      </c>
      <c r="C316" s="4">
        <v>99439</v>
      </c>
      <c r="D316" s="4">
        <v>31867</v>
      </c>
      <c r="E316" s="4">
        <v>28685</v>
      </c>
      <c r="F316" s="4">
        <v>26402</v>
      </c>
    </row>
    <row r="317" spans="1:6" ht="12.75">
      <c r="A317" s="6" t="s">
        <v>34</v>
      </c>
      <c r="B317" s="29" t="s">
        <v>128</v>
      </c>
      <c r="C317" s="4"/>
      <c r="D317" s="4"/>
      <c r="E317" s="4"/>
      <c r="F317" s="4"/>
    </row>
    <row r="318" spans="1:6" ht="12.75">
      <c r="A318" s="6" t="s">
        <v>35</v>
      </c>
      <c r="B318" s="29" t="s">
        <v>129</v>
      </c>
      <c r="C318" s="4">
        <v>15058</v>
      </c>
      <c r="D318" s="4">
        <v>155063</v>
      </c>
      <c r="E318" s="4">
        <v>139549</v>
      </c>
      <c r="F318" s="4">
        <v>137235</v>
      </c>
    </row>
    <row r="319" spans="1:6" ht="12.75">
      <c r="A319" s="6" t="s">
        <v>36</v>
      </c>
      <c r="B319" s="29" t="s">
        <v>157</v>
      </c>
      <c r="C319" s="4">
        <v>1302948</v>
      </c>
      <c r="D319" s="4">
        <v>701667</v>
      </c>
      <c r="E319" s="4">
        <v>654797</v>
      </c>
      <c r="F319" s="4">
        <v>638042</v>
      </c>
    </row>
    <row r="320" spans="1:6" ht="12.75">
      <c r="A320" s="6" t="s">
        <v>37</v>
      </c>
      <c r="B320" s="29" t="s">
        <v>130</v>
      </c>
      <c r="C320" s="4">
        <v>6471</v>
      </c>
      <c r="D320" s="4">
        <v>8222</v>
      </c>
      <c r="E320" s="4">
        <v>14518</v>
      </c>
      <c r="F320" s="4">
        <v>15070</v>
      </c>
    </row>
    <row r="321" spans="1:6" ht="12.75">
      <c r="A321" s="6" t="s">
        <v>38</v>
      </c>
      <c r="B321" s="29" t="s">
        <v>131</v>
      </c>
      <c r="C321" s="4">
        <v>739569</v>
      </c>
      <c r="D321" s="4">
        <v>340684</v>
      </c>
      <c r="E321" s="4">
        <v>321014</v>
      </c>
      <c r="F321" s="4">
        <v>312650</v>
      </c>
    </row>
    <row r="322" spans="1:6" ht="12.75">
      <c r="A322" s="6" t="s">
        <v>39</v>
      </c>
      <c r="B322" s="29" t="s">
        <v>132</v>
      </c>
      <c r="C322" s="4">
        <v>1188</v>
      </c>
      <c r="D322" s="4">
        <v>5626</v>
      </c>
      <c r="E322" s="4">
        <v>14132</v>
      </c>
      <c r="F322" s="4">
        <v>13251</v>
      </c>
    </row>
    <row r="323" spans="1:6" ht="12.75">
      <c r="A323" s="6" t="s">
        <v>40</v>
      </c>
      <c r="B323" s="29" t="s">
        <v>133</v>
      </c>
      <c r="C323" s="4">
        <v>0</v>
      </c>
      <c r="D323" s="4">
        <v>190781</v>
      </c>
      <c r="E323" s="4">
        <v>110163</v>
      </c>
      <c r="F323" s="4">
        <v>100695</v>
      </c>
    </row>
    <row r="324" spans="1:6" ht="12.75">
      <c r="A324" s="6" t="s">
        <v>41</v>
      </c>
      <c r="B324" s="29" t="s">
        <v>134</v>
      </c>
      <c r="C324" s="4">
        <v>78134</v>
      </c>
      <c r="D324" s="4">
        <v>158142</v>
      </c>
      <c r="E324" s="4">
        <v>177466</v>
      </c>
      <c r="F324" s="4">
        <v>177632</v>
      </c>
    </row>
    <row r="325" spans="1:6" ht="12.75">
      <c r="A325" s="6" t="s">
        <v>42</v>
      </c>
      <c r="B325" s="29" t="s">
        <v>135</v>
      </c>
      <c r="C325" s="4">
        <v>8329</v>
      </c>
      <c r="D325" s="4">
        <v>9389</v>
      </c>
      <c r="E325" s="4">
        <v>8859</v>
      </c>
      <c r="F325" s="4">
        <v>9328</v>
      </c>
    </row>
    <row r="326" spans="1:6" ht="12.75">
      <c r="A326" s="6" t="s">
        <v>43</v>
      </c>
      <c r="B326" s="29" t="s">
        <v>136</v>
      </c>
      <c r="C326" s="4">
        <v>33552</v>
      </c>
      <c r="D326" s="4">
        <v>36824</v>
      </c>
      <c r="E326" s="4">
        <v>42641</v>
      </c>
      <c r="F326" s="4">
        <v>39799</v>
      </c>
    </row>
    <row r="327" spans="1:6" ht="12.75">
      <c r="A327" s="6" t="s">
        <v>44</v>
      </c>
      <c r="B327" s="29" t="s">
        <v>137</v>
      </c>
      <c r="C327" s="4">
        <v>0</v>
      </c>
      <c r="D327" s="4">
        <v>16183</v>
      </c>
      <c r="E327" s="4">
        <v>43212</v>
      </c>
      <c r="F327" s="4">
        <v>42539</v>
      </c>
    </row>
    <row r="328" spans="1:6" ht="12.75">
      <c r="A328" s="6" t="s">
        <v>45</v>
      </c>
      <c r="B328" s="29" t="s">
        <v>158</v>
      </c>
      <c r="C328" s="4">
        <v>0</v>
      </c>
      <c r="D328" s="4">
        <v>102110</v>
      </c>
      <c r="E328" s="4">
        <v>50064</v>
      </c>
      <c r="F328" s="4">
        <v>53634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36.57421875" style="32" customWidth="1"/>
    <col min="2" max="2" width="17.421875" style="32" customWidth="1"/>
    <col min="3" max="3" width="11.8515625" style="32" customWidth="1"/>
  </cols>
  <sheetData>
    <row r="1" spans="1:3" ht="12.75">
      <c r="A1" s="38" t="s">
        <v>85</v>
      </c>
      <c r="B1" s="38"/>
      <c r="C1" s="38"/>
    </row>
    <row r="2" spans="1:3" ht="12.75">
      <c r="A2" s="39" t="s">
        <v>111</v>
      </c>
      <c r="B2" s="39"/>
      <c r="C2" s="39"/>
    </row>
    <row r="3" ht="12.75">
      <c r="D3" s="15" t="s">
        <v>110</v>
      </c>
    </row>
    <row r="4" spans="3:4" ht="12.75">
      <c r="C4">
        <v>2000</v>
      </c>
      <c r="D4">
        <v>2008</v>
      </c>
    </row>
    <row r="5" spans="1:4" ht="12.75">
      <c r="A5" s="34" t="s">
        <v>8</v>
      </c>
      <c r="B5" s="40" t="s">
        <v>112</v>
      </c>
      <c r="C5">
        <v>9677.38957739584</v>
      </c>
      <c r="D5">
        <v>10089.0498095285</v>
      </c>
    </row>
    <row r="6" spans="1:4" ht="12.75">
      <c r="A6" s="28" t="s">
        <v>9</v>
      </c>
      <c r="B6" s="40" t="s">
        <v>113</v>
      </c>
      <c r="C6">
        <v>23085.8590119478</v>
      </c>
      <c r="D6">
        <v>19794.39642458</v>
      </c>
    </row>
    <row r="7" spans="1:4" ht="12.75">
      <c r="A7" s="28" t="s">
        <v>10</v>
      </c>
      <c r="B7" s="40" t="s">
        <v>114</v>
      </c>
      <c r="C7">
        <v>24881.39436</v>
      </c>
      <c r="D7">
        <v>32454.68558</v>
      </c>
    </row>
    <row r="8" spans="1:4" ht="12.75">
      <c r="A8" s="28" t="s">
        <v>12</v>
      </c>
      <c r="B8" s="40" t="s">
        <v>115</v>
      </c>
      <c r="C8">
        <v>2903.765560648</v>
      </c>
      <c r="D8">
        <v>3967.292139</v>
      </c>
    </row>
    <row r="9" spans="1:4" ht="12.75">
      <c r="A9" s="37" t="s">
        <v>13</v>
      </c>
      <c r="B9" s="41" t="s">
        <v>145</v>
      </c>
      <c r="C9">
        <v>57125.5533849</v>
      </c>
      <c r="D9">
        <v>60444.5983803258</v>
      </c>
    </row>
    <row r="10" spans="1:4" ht="12.75">
      <c r="A10" s="28" t="s">
        <v>14</v>
      </c>
      <c r="B10" s="40" t="s">
        <v>116</v>
      </c>
      <c r="C10">
        <v>23135.520953274</v>
      </c>
      <c r="D10">
        <v>21032.3978136639</v>
      </c>
    </row>
    <row r="11" spans="1:4" ht="12.75">
      <c r="A11" s="28" t="s">
        <v>19</v>
      </c>
      <c r="B11" s="40" t="s">
        <v>117</v>
      </c>
      <c r="C11">
        <v>11628.475</v>
      </c>
      <c r="D11">
        <v>12108.7023763884</v>
      </c>
    </row>
    <row r="12" spans="1:4" ht="12.75">
      <c r="A12" s="28" t="s">
        <v>24</v>
      </c>
      <c r="B12" s="40" t="s">
        <v>119</v>
      </c>
      <c r="C12">
        <v>18996.064203856</v>
      </c>
      <c r="D12">
        <v>20857.20435685</v>
      </c>
    </row>
    <row r="13" spans="1:4" ht="12.75">
      <c r="A13" s="28" t="s">
        <v>25</v>
      </c>
      <c r="B13" s="40" t="s">
        <v>120</v>
      </c>
      <c r="C13">
        <v>43335.8103727336</v>
      </c>
      <c r="D13">
        <v>44778.19291068</v>
      </c>
    </row>
    <row r="14" spans="1:4" ht="12.75">
      <c r="A14" s="37" t="s">
        <v>89</v>
      </c>
      <c r="B14" s="41" t="s">
        <v>192</v>
      </c>
      <c r="C14">
        <v>309536.319412663</v>
      </c>
      <c r="D14">
        <v>316924.154774619</v>
      </c>
    </row>
    <row r="15" spans="1:4" ht="12.75">
      <c r="A15" s="28" t="s">
        <v>26</v>
      </c>
      <c r="B15" s="40" t="s">
        <v>121</v>
      </c>
      <c r="C15">
        <v>51452.7788114928</v>
      </c>
      <c r="D15">
        <v>53273.2846440336</v>
      </c>
    </row>
    <row r="16" spans="1:4" ht="12.75">
      <c r="A16" s="28" t="s">
        <v>27</v>
      </c>
      <c r="B16" s="40" t="s">
        <v>144</v>
      </c>
      <c r="C16">
        <v>3798.27004743324</v>
      </c>
      <c r="D16">
        <v>5021.22037177958</v>
      </c>
    </row>
    <row r="17" spans="1:4" ht="12.75">
      <c r="A17" s="28" t="s">
        <v>28</v>
      </c>
      <c r="B17" s="40" t="s">
        <v>122</v>
      </c>
      <c r="C17">
        <v>22155.9147253</v>
      </c>
      <c r="D17">
        <v>17718.5568379369</v>
      </c>
    </row>
    <row r="18" spans="1:4" ht="12.75">
      <c r="A18" s="28" t="s">
        <v>30</v>
      </c>
      <c r="B18" s="40" t="s">
        <v>124</v>
      </c>
      <c r="C18">
        <v>9.51791412693</v>
      </c>
      <c r="D18">
        <v>14.2512560547984</v>
      </c>
    </row>
    <row r="19" spans="1:4" ht="12.75">
      <c r="A19" s="28" t="s">
        <v>29</v>
      </c>
      <c r="B19" s="40" t="s">
        <v>123</v>
      </c>
      <c r="C19">
        <v>15667.305</v>
      </c>
      <c r="D19">
        <v>14005.00032914</v>
      </c>
    </row>
    <row r="20" spans="1:4" ht="12.75">
      <c r="A20" s="28" t="s">
        <v>31</v>
      </c>
      <c r="B20" s="40" t="s">
        <v>125</v>
      </c>
      <c r="C20">
        <v>115158.921838397</v>
      </c>
      <c r="D20">
        <v>116251.623160743</v>
      </c>
    </row>
    <row r="21" spans="1:4" ht="12.75">
      <c r="A21" s="28" t="s">
        <v>33</v>
      </c>
      <c r="B21" s="40" t="s">
        <v>127</v>
      </c>
      <c r="C21">
        <v>2298.28658573989</v>
      </c>
      <c r="D21">
        <v>1935.25798837191</v>
      </c>
    </row>
    <row r="22" spans="1:4" ht="12.75">
      <c r="A22" s="28" t="s">
        <v>32</v>
      </c>
      <c r="B22" s="40" t="s">
        <v>126</v>
      </c>
      <c r="C22">
        <v>3997.22630918242</v>
      </c>
      <c r="D22">
        <v>2991.33349786764</v>
      </c>
    </row>
    <row r="23" spans="1:4" ht="12.75">
      <c r="A23" s="37" t="s">
        <v>92</v>
      </c>
      <c r="B23" s="41" t="s">
        <v>193</v>
      </c>
      <c r="C23">
        <v>186.081061880213</v>
      </c>
      <c r="D23">
        <v>1147.16097642924</v>
      </c>
    </row>
    <row r="24" spans="1:4" ht="12.75">
      <c r="A24" s="28" t="s">
        <v>34</v>
      </c>
      <c r="B24" s="40" t="s">
        <v>128</v>
      </c>
      <c r="C24">
        <v>1664.95752637038</v>
      </c>
      <c r="D24">
        <v>1976.33754678935</v>
      </c>
    </row>
    <row r="25" spans="1:4" ht="12.75">
      <c r="A25" s="28" t="s">
        <v>35</v>
      </c>
      <c r="B25" s="40" t="s">
        <v>129</v>
      </c>
      <c r="C25">
        <v>49773.0281360625</v>
      </c>
      <c r="D25">
        <v>52371.5530153999</v>
      </c>
    </row>
    <row r="26" spans="1:4" ht="12.75">
      <c r="A26" s="28" t="s">
        <v>37</v>
      </c>
      <c r="B26" s="40" t="s">
        <v>130</v>
      </c>
      <c r="C26">
        <v>349.351567792</v>
      </c>
      <c r="D26">
        <v>508.02984762</v>
      </c>
    </row>
    <row r="27" spans="1:4" ht="12.75">
      <c r="A27" s="28" t="s">
        <v>38</v>
      </c>
      <c r="B27" s="40" t="s">
        <v>131</v>
      </c>
      <c r="C27">
        <v>165455.191423455</v>
      </c>
      <c r="D27">
        <v>163852.814958183</v>
      </c>
    </row>
    <row r="28" spans="1:4" ht="12.75">
      <c r="A28" s="28" t="s">
        <v>39</v>
      </c>
      <c r="B28" s="40" t="s">
        <v>132</v>
      </c>
      <c r="C28">
        <v>18652.1319577837</v>
      </c>
      <c r="D28">
        <v>16425.7819956669</v>
      </c>
    </row>
    <row r="29" spans="1:4" ht="12.75">
      <c r="A29" s="28" t="s">
        <v>40</v>
      </c>
      <c r="B29" s="40" t="s">
        <v>133</v>
      </c>
      <c r="C29">
        <v>46657.3840391927</v>
      </c>
      <c r="D29">
        <v>45566.3058155012</v>
      </c>
    </row>
    <row r="30" spans="1:4" ht="12.75">
      <c r="A30" s="28" t="s">
        <v>42</v>
      </c>
      <c r="B30" s="40" t="s">
        <v>135</v>
      </c>
      <c r="C30">
        <v>5441.55998224186</v>
      </c>
      <c r="D30">
        <v>6346.55277127033</v>
      </c>
    </row>
    <row r="31" spans="1:4" ht="12.75">
      <c r="A31" s="28" t="s">
        <v>43</v>
      </c>
      <c r="B31" s="40" t="s">
        <v>136</v>
      </c>
      <c r="C31">
        <v>9144.55136480523</v>
      </c>
      <c r="D31">
        <v>7593.04618183432</v>
      </c>
    </row>
    <row r="32" spans="1:4" ht="12.75">
      <c r="A32" s="28" t="s">
        <v>20</v>
      </c>
      <c r="B32" s="40" t="s">
        <v>118</v>
      </c>
      <c r="C32">
        <v>89740.932217</v>
      </c>
      <c r="D32">
        <v>90516.965551</v>
      </c>
    </row>
    <row r="33" spans="1:4" ht="12.75">
      <c r="A33" s="28" t="s">
        <v>41</v>
      </c>
      <c r="B33" s="40" t="s">
        <v>134</v>
      </c>
      <c r="C33">
        <v>6004.9028383296</v>
      </c>
      <c r="D33">
        <v>6996.40360360623</v>
      </c>
    </row>
    <row r="34" spans="1:4" ht="12.75">
      <c r="A34" s="28" t="s">
        <v>11</v>
      </c>
      <c r="B34" s="40" t="s">
        <v>194</v>
      </c>
      <c r="C34">
        <v>2149.10654206042</v>
      </c>
      <c r="D34">
        <v>2569.91736605059</v>
      </c>
    </row>
    <row r="35" spans="1:4" ht="12.75">
      <c r="A35" s="28" t="s">
        <v>44</v>
      </c>
      <c r="B35" s="40" t="s">
        <v>137</v>
      </c>
      <c r="C35">
        <v>72089.3799804195</v>
      </c>
      <c r="D35">
        <v>101473.202</v>
      </c>
    </row>
    <row r="36" spans="1:4" ht="12.75">
      <c r="A36" s="37" t="s">
        <v>45</v>
      </c>
      <c r="B36" s="41" t="s">
        <v>158</v>
      </c>
      <c r="C36">
        <v>158350.637106693</v>
      </c>
      <c r="D36">
        <v>172998.912177626</v>
      </c>
    </row>
    <row r="37" spans="1:4" ht="12.75">
      <c r="A37" s="34" t="s">
        <v>23</v>
      </c>
      <c r="B37" s="40" t="s">
        <v>195</v>
      </c>
      <c r="C37">
        <v>1286107.94276134</v>
      </c>
      <c r="D37">
        <v>1314417.56561703</v>
      </c>
    </row>
  </sheetData>
  <sheetProtection/>
  <hyperlinks>
    <hyperlink ref="A1" r:id="rId1" display="http://dataservice.eea.europa.eu/pivotapp/pivot.aspx?pivotid=475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"/>
  <sheetViews>
    <sheetView zoomScalePageLayoutView="0" workbookViewId="0" topLeftCell="A1">
      <selection activeCell="O17" sqref="O17"/>
    </sheetView>
  </sheetViews>
  <sheetFormatPr defaultColWidth="12.8515625" defaultRowHeight="12.75"/>
  <cols>
    <col min="1" max="1" width="22.28125" style="0" customWidth="1"/>
    <col min="2" max="4" width="12.8515625" style="0" customWidth="1"/>
    <col min="5" max="6" width="23.140625" style="0" customWidth="1"/>
  </cols>
  <sheetData>
    <row r="1" spans="2:14" ht="17.25">
      <c r="B1" s="15" t="s">
        <v>140</v>
      </c>
      <c r="C1" s="15" t="s">
        <v>141</v>
      </c>
      <c r="D1" s="23" t="s">
        <v>182</v>
      </c>
      <c r="E1" s="15" t="s">
        <v>142</v>
      </c>
      <c r="F1" s="15" t="s">
        <v>69</v>
      </c>
      <c r="G1" t="s">
        <v>139</v>
      </c>
      <c r="H1" s="15" t="s">
        <v>183</v>
      </c>
      <c r="I1" s="24" t="s">
        <v>182</v>
      </c>
      <c r="J1" s="15" t="s">
        <v>143</v>
      </c>
      <c r="K1" s="24" t="s">
        <v>184</v>
      </c>
      <c r="L1" s="24"/>
      <c r="M1" s="24" t="s">
        <v>185</v>
      </c>
      <c r="N1" s="5" t="s">
        <v>186</v>
      </c>
    </row>
    <row r="2" spans="1:23" ht="12.75">
      <c r="A2" s="22" t="s">
        <v>23</v>
      </c>
      <c r="B2">
        <f>VLOOKUP(A2,Electricity!A12:F53,5,FALSE)-VLOOKUP(A2,Electricity!A122:F163,5,FALSE)</f>
        <v>6246766</v>
      </c>
      <c r="C2">
        <f>B2-((VLOOKUP(A2,Electricity!A232:F273,5,FALSE))*(((VLOOKUP(A2,Electricity!A66:F108,5,FALSE)/VLOOKUP(A2,Electricity!A287:F328,5,FALSE)))))</f>
        <v>5884030.023227106</v>
      </c>
      <c r="D2">
        <f>10^6*(C2/(VLOOKUP(A2,Electricity!A66:F108,5,FALSE)/VLOOKUP(A2,Electricity!A287:F328,5,FALSE)))</f>
        <v>1634452888888.8176</v>
      </c>
      <c r="E2" s="17">
        <f>(VLOOKUP(A2,Heat!$A$67:$F$108,5,FALSE))+(VLOOKUP(A2,Heat!$A$12:$F$57,5,FALSE))-(VLOOKUP(A2,Heat!$A$177:$F$218,5,FALSE))-(VLOOKUP(A2,Heat!$A$232:$F$273,5,FALSE))+C2</f>
        <v>7581781.023227106</v>
      </c>
      <c r="F2" s="18">
        <f>1-(VLOOKUP(A2,Heat!$A$122:$F$163,5,FALSE)+((VLOOKUP(A2,Heat!$A$67:$F$108,5,FALSE))*((VLOOKUP(A2,'Data for Fig 1a'!A2:L33,5,FALSE))/(VLOOKUP(A2,'Data for Fig 1a'!A2:L33,6,FALSE))))-(VLOOKUP(A2,Heat!$A$232:$F$273,5,FALSE)))/E2</f>
        <v>0.8097562027218825</v>
      </c>
      <c r="G2" s="17">
        <f>((VLOOKUP(A2,'1A1a dataviewer'!$A$5:$D$37,4,FALSE))*10^9*F2)</f>
        <v>1064357776724987.1</v>
      </c>
      <c r="H2" s="20">
        <f>G2/D2</f>
        <v>651.2012575954946</v>
      </c>
      <c r="I2">
        <f>10^6*B2/((VLOOKUP(A2,Electricity!A66:F108,5,FALSE)/VLOOKUP(A2,Electricity!A287:F328,5,FALSE)))</f>
        <v>1735212888888.8176</v>
      </c>
      <c r="J2">
        <f>(VLOOKUP(A2,Heat!$A$67:$F$108,5,FALSE))+(VLOOKUP(A2,Heat!$A$12:$F$57,5,FALSE))-(VLOOKUP(A2,Heat!$A$177:$F$218,5,FALSE))+B2</f>
        <v>8245358</v>
      </c>
      <c r="K2" s="15">
        <f>1-(((VLOOKUP(A2,Heat!$A$122:$F$163,5,FALSE)+((VLOOKUP(A2,Heat!$A$67:$F$108,5,FALSE))*((VLOOKUP(A2,'Data for Fig 1a'!A2:L33,5,FALSE))/(VLOOKUP(A2,'Data for Fig 1a'!A2:L33,6,FALSE))))))/J2)</f>
        <v>0.7885807005602551</v>
      </c>
      <c r="L2" s="15">
        <f>((VLOOKUP(A2,'1A1a dataviewer'!$A$5:$D$37,4,FALSE))*10^9*K2)</f>
        <v>1036524324722982.6</v>
      </c>
      <c r="M2" s="15">
        <f>L2/I2</f>
        <v>597.3470640750854</v>
      </c>
      <c r="N2">
        <f>VLOOKUP(A2,'Data for Fig 1a'!A2:Q33,17,FALSE)</f>
        <v>364.4813088985708</v>
      </c>
      <c r="R2" s="21"/>
      <c r="S2" s="21"/>
      <c r="W2" s="15"/>
    </row>
    <row r="3" spans="1:23" ht="12.75">
      <c r="A3" s="25"/>
      <c r="B3" s="15"/>
      <c r="E3" s="18"/>
      <c r="F3" s="18"/>
      <c r="G3" s="18"/>
      <c r="H3" s="20"/>
      <c r="R3" s="21"/>
      <c r="S3" s="21"/>
      <c r="W3" s="15"/>
    </row>
    <row r="4" spans="1:3" ht="14.25">
      <c r="A4" s="26"/>
      <c r="B4" s="26"/>
      <c r="C4" s="26"/>
    </row>
    <row r="6" spans="1:2" ht="17.25">
      <c r="A6" s="27" t="s">
        <v>187</v>
      </c>
      <c r="B6" s="20">
        <f>H2</f>
        <v>651.2012575954946</v>
      </c>
    </row>
    <row r="7" spans="1:2" ht="17.25">
      <c r="A7" s="27" t="s">
        <v>185</v>
      </c>
      <c r="B7">
        <f>M2</f>
        <v>597.3470640750854</v>
      </c>
    </row>
    <row r="8" spans="1:7" ht="17.25">
      <c r="A8" s="27" t="s">
        <v>188</v>
      </c>
      <c r="B8">
        <f>N2</f>
        <v>364.4813088985708</v>
      </c>
      <c r="G8" s="15"/>
    </row>
    <row r="9" ht="14.25">
      <c r="A9" s="27"/>
    </row>
    <row r="11" ht="12.75">
      <c r="G11" s="15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2"/>
  <sheetViews>
    <sheetView zoomScale="70" zoomScaleNormal="70" zoomScalePageLayoutView="0" workbookViewId="0" topLeftCell="A1">
      <selection activeCell="F60" sqref="F60"/>
    </sheetView>
  </sheetViews>
  <sheetFormatPr defaultColWidth="16.28125" defaultRowHeight="12.75"/>
  <cols>
    <col min="1" max="1" width="36.421875" style="0" customWidth="1"/>
    <col min="2" max="2" width="19.00390625" style="0" customWidth="1"/>
  </cols>
  <sheetData>
    <row r="1" spans="2:17" ht="14.25">
      <c r="B1" s="7" t="s">
        <v>48</v>
      </c>
      <c r="C1" s="7" t="s">
        <v>50</v>
      </c>
      <c r="D1" s="7" t="s">
        <v>52</v>
      </c>
      <c r="E1" s="7" t="s">
        <v>54</v>
      </c>
      <c r="F1" s="7" t="s">
        <v>56</v>
      </c>
      <c r="G1" s="7" t="s">
        <v>58</v>
      </c>
      <c r="H1" s="7" t="s">
        <v>60</v>
      </c>
      <c r="I1" s="7" t="s">
        <v>62</v>
      </c>
      <c r="J1" s="7" t="s">
        <v>64</v>
      </c>
      <c r="K1" s="7" t="s">
        <v>66</v>
      </c>
      <c r="L1" s="7" t="s">
        <v>67</v>
      </c>
      <c r="M1" s="7" t="s">
        <v>68</v>
      </c>
      <c r="N1" s="7" t="s">
        <v>69</v>
      </c>
      <c r="O1" s="7" t="s">
        <v>70</v>
      </c>
      <c r="P1" s="7" t="s">
        <v>71</v>
      </c>
      <c r="Q1" s="7" t="s">
        <v>72</v>
      </c>
    </row>
    <row r="2" spans="1:18" ht="12.75">
      <c r="A2" s="6" t="s">
        <v>30</v>
      </c>
      <c r="B2">
        <f>VLOOKUP(A2,'1A1a dataviewer'!$A$5:$D$37,4,FALSE)</f>
        <v>14.2512560547984</v>
      </c>
      <c r="C2">
        <f>(VLOOKUP(A2,Heat!$A$122:$F$163,6,FALSE))/gwh_conv</f>
        <v>0</v>
      </c>
      <c r="D2">
        <f>(VLOOKUP(A2,Heat!$A$67:$F$108,6,FALSE))/gwh_conv</f>
        <v>302.77777777777777</v>
      </c>
      <c r="E2" s="18">
        <f>(VLOOKUP(A2,'All products'!$A$177:$F$218,6,FALSE))/(VLOOKUP(A2,'All products'!$A$67:$F$108,6,FALSE))</f>
        <v>0.1028927132918345</v>
      </c>
      <c r="F2" s="18">
        <f>IF(VLOOKUP(A2,'All products'!$A$12:$F$53,6,FALSE)&gt;0,IF(((VLOOKUP(A2,'All products'!$A$122:$F$163,6,FALSE))/(VLOOKUP(A2,'All products'!$A$12:$F$53,6,FALSE)))&lt;1,((VLOOKUP(A2,'All products'!$A$122:$F$163,6,FALSE))/(VLOOKUP(A2,'All products'!$A$12:$F$53,6,FALSE))),1),0)</f>
        <v>1</v>
      </c>
      <c r="G2" s="20">
        <f>((VLOOKUP(A2,Heat!$A$287:$F$328,6,FALSE))-(VLOOKUP(A2,Heat!$A$12:Heat!$F$53,6,FALSE))-(VLOOKUP(A2,Heat!$A$67:$F$108,6,FALSE)))/gwh_conv</f>
        <v>0</v>
      </c>
      <c r="H2">
        <f>(VLOOKUP(A2,Electricity!$A$177:$F$218,6,FALSE))+(((VLOOKUP(A2,Heat!$A$287:$F$328,6,FALSE))/gwh_conv))</f>
        <v>9922.055555555555</v>
      </c>
      <c r="I2">
        <f>((VLOOKUP(A2,Electricity!$A$122:$F$163,6,FALSE))+(VLOOKUP(A2,Heat!$A$177:$F$218,6,FALSE)))/gwh_conv</f>
        <v>1.1111111111111112</v>
      </c>
      <c r="J2">
        <f>(VLOOKUP(A2,Electricity!$A$177:$F$218,6,FALSE))</f>
        <v>7684</v>
      </c>
      <c r="K2">
        <f>((VLOOKUP(A2,Electricity!$A$122:$F$163,6,FALSE)))/gwh_conv</f>
        <v>1.1111111111111112</v>
      </c>
      <c r="L2">
        <f aca="true" t="shared" si="0" ref="L2:L33">IF(F2&gt;0,C2+G2+(D2*(E2/F2)),C2+G2+(D2*E2))</f>
        <v>31.15362708002767</v>
      </c>
      <c r="M2" s="21">
        <f aca="true" t="shared" si="1" ref="M2:M32">L2/(H2-I2)</f>
        <v>0.003140187635812552</v>
      </c>
      <c r="N2" s="21">
        <f aca="true" t="shared" si="2" ref="N2:N33">1-M2</f>
        <v>0.9968598123641874</v>
      </c>
      <c r="O2">
        <f aca="true" t="shared" si="3" ref="O2:O33">M2*B2*10^9</f>
        <v>44751618.0580767</v>
      </c>
      <c r="P2">
        <f aca="true" t="shared" si="4" ref="P2:P33">N2*B2*10^9</f>
        <v>14206504436.740322</v>
      </c>
      <c r="Q2">
        <f aca="true" t="shared" si="5" ref="Q2:Q33">P2/((J2-K2)*10^6)</f>
        <v>1.8491097088864563</v>
      </c>
      <c r="R2" s="15" t="str">
        <f>MID(A2,SEARCH(" ",A2)+1,IF(ISERROR(SEARCH("(*)",A2)),LEN(A2),SEARCH("(*)",A2)-(SEARCH(" ",A2)+1)))</f>
        <v>Iceland</v>
      </c>
    </row>
    <row r="3" spans="1:18" ht="12.75">
      <c r="A3" s="6" t="s">
        <v>37</v>
      </c>
      <c r="B3">
        <f>VLOOKUP(A3,'1A1a dataviewer'!$A$5:$D$37,4,FALSE)</f>
        <v>508.02984762</v>
      </c>
      <c r="C3">
        <f>(VLOOKUP(A3,Heat!$A$122:$F$163,6,FALSE))/gwh_conv</f>
        <v>974.1666666666666</v>
      </c>
      <c r="D3">
        <f>(VLOOKUP(A3,Heat!$A$67:$F$108,6,FALSE))/gwh_conv</f>
        <v>3211.9444444444443</v>
      </c>
      <c r="E3" s="18">
        <f>(VLOOKUP(A3,'All products'!$A$177:$F$218,6,FALSE))/(VLOOKUP(A3,'All products'!$A$67:$F$108,6,FALSE))</f>
        <v>0.8523933855526545</v>
      </c>
      <c r="F3" s="18">
        <f>IF(VLOOKUP(A3,'All products'!$A$12:$F$53,6,FALSE)&gt;0,IF(((VLOOKUP(A3,'All products'!$A$122:$F$163,6,FALSE))/(VLOOKUP(A3,'All products'!$A$12:$F$53,6,FALSE)))&lt;1,((VLOOKUP(A3,'All products'!$A$122:$F$163,6,FALSE))/(VLOOKUP(A3,'All products'!$A$12:$F$53,6,FALSE))),1),0)</f>
        <v>1</v>
      </c>
      <c r="G3" s="20">
        <f>((VLOOKUP(A3,Heat!$A$287:$F$328,6,FALSE))-(VLOOKUP(A3,Heat!$A$12:Heat!$F$53,6,FALSE))-(VLOOKUP(A3,Heat!$A$67:$F$108,6,FALSE)))/gwh_conv</f>
        <v>0</v>
      </c>
      <c r="H3">
        <f>(VLOOKUP(A3,Electricity!$A$177:$F$218,6,FALSE))+(((VLOOKUP(A3,Heat!$A$287:$F$328,6,FALSE))/gwh_conv))</f>
        <v>146855.11111111112</v>
      </c>
      <c r="I3">
        <f>((VLOOKUP(A3,Electricity!$A$122:$F$163,6,FALSE))+(VLOOKUP(A3,Heat!$A$177:$F$218,6,FALSE)))/gwh_conv</f>
        <v>843.8888888888889</v>
      </c>
      <c r="J3">
        <f>(VLOOKUP(A3,Electricity!$A$177:$F$218,6,FALSE))</f>
        <v>142669</v>
      </c>
      <c r="K3">
        <f>((VLOOKUP(A3,Electricity!$A$122:$F$163,6,FALSE)))/gwh_conv</f>
        <v>843.8888888888889</v>
      </c>
      <c r="L3">
        <f t="shared" si="0"/>
        <v>3712.0068658737064</v>
      </c>
      <c r="M3" s="21">
        <f t="shared" si="1"/>
        <v>0.025422750452867286</v>
      </c>
      <c r="N3" s="21">
        <f t="shared" si="2"/>
        <v>0.9745772495471328</v>
      </c>
      <c r="O3">
        <f t="shared" si="3"/>
        <v>12915516038.651453</v>
      </c>
      <c r="P3">
        <f t="shared" si="4"/>
        <v>495114331581.3486</v>
      </c>
      <c r="Q3">
        <f t="shared" si="5"/>
        <v>3.4910202269713535</v>
      </c>
      <c r="R3" s="15" t="str">
        <f aca="true" t="shared" si="6" ref="R3:R33">MID(A3,SEARCH(" ",A3)+1,IF(ISERROR(SEARCH("(*)",A3)),LEN(A3),SEARCH("(*)",A3)-(SEARCH(" ",A3)+1)))</f>
        <v>Norway</v>
      </c>
    </row>
    <row r="4" spans="1:18" ht="12.75">
      <c r="A4" s="6" t="s">
        <v>32</v>
      </c>
      <c r="B4">
        <f>VLOOKUP(A4,'1A1a dataviewer'!$A$5:$D$37,4,FALSE)</f>
        <v>2991.33349786764</v>
      </c>
      <c r="C4">
        <f>(VLOOKUP(A4,Heat!$A$122:$F$163,6,FALSE))/gwh_conv</f>
        <v>5570</v>
      </c>
      <c r="D4">
        <f>(VLOOKUP(A4,Heat!$A$67:$F$108,6,FALSE))/gwh_conv</f>
        <v>5288.611111111111</v>
      </c>
      <c r="E4" s="18">
        <f>(VLOOKUP(A4,'All products'!$A$177:$F$218,6,FALSE))/(VLOOKUP(A4,'All products'!$A$67:$F$108,6,FALSE))</f>
        <v>0.721826319605931</v>
      </c>
      <c r="F4" s="18">
        <f>IF(VLOOKUP(A4,'All products'!$A$12:$F$53,6,FALSE)&gt;0,IF(((VLOOKUP(A4,'All products'!$A$122:$F$163,6,FALSE))/(VLOOKUP(A4,'All products'!$A$12:$F$53,6,FALSE)))&lt;1,((VLOOKUP(A4,'All products'!$A$122:$F$163,6,FALSE))/(VLOOKUP(A4,'All products'!$A$12:$F$53,6,FALSE))),1),0)</f>
        <v>0.9904796587243783</v>
      </c>
      <c r="G4" s="20">
        <f>((VLOOKUP(A4,Heat!$A$287:$F$328,6,FALSE))-(VLOOKUP(A4,Heat!$A$12:Heat!$F$53,6,FALSE))-(VLOOKUP(A4,Heat!$A$67:$F$108,6,FALSE)))/gwh_conv</f>
        <v>521.3888888888889</v>
      </c>
      <c r="H4">
        <f>(VLOOKUP(A4,Electricity!$A$177:$F$218,6,FALSE))+(((VLOOKUP(A4,Heat!$A$287:$F$328,6,FALSE))/gwh_conv))</f>
        <v>26775.333333333332</v>
      </c>
      <c r="I4">
        <f>((VLOOKUP(A4,Electricity!$A$122:$F$163,6,FALSE))+(VLOOKUP(A4,Heat!$A$177:$F$218,6,FALSE)))/gwh_conv</f>
        <v>1933.3333333333333</v>
      </c>
      <c r="J4">
        <f>(VLOOKUP(A4,Electricity!$A$177:$F$218,6,FALSE))</f>
        <v>13912</v>
      </c>
      <c r="K4">
        <f>((VLOOKUP(A4,Electricity!$A$122:$F$163,6,FALSE)))/gwh_conv</f>
        <v>450</v>
      </c>
      <c r="L4">
        <f t="shared" si="0"/>
        <v>9945.540420962558</v>
      </c>
      <c r="M4" s="21">
        <f t="shared" si="1"/>
        <v>0.40035184047027444</v>
      </c>
      <c r="N4" s="21">
        <f t="shared" si="2"/>
        <v>0.5996481595297256</v>
      </c>
      <c r="O4">
        <f t="shared" si="3"/>
        <v>1197585871331.6934</v>
      </c>
      <c r="P4">
        <f t="shared" si="4"/>
        <v>1793747626535.9468</v>
      </c>
      <c r="Q4">
        <f t="shared" si="5"/>
        <v>133.24525527677514</v>
      </c>
      <c r="R4" s="15" t="str">
        <f t="shared" si="6"/>
        <v>Lithuania</v>
      </c>
    </row>
    <row r="5" spans="1:18" ht="12.75">
      <c r="A5" s="6" t="s">
        <v>11</v>
      </c>
      <c r="B5">
        <f>VLOOKUP(A5,'1A1a dataviewer'!$A$5:$D$37,4,FALSE)</f>
        <v>2569.91736605059</v>
      </c>
      <c r="C5">
        <f>(VLOOKUP(A5,Heat!$A$122:$F$163,6,FALSE))/gwh_conv</f>
        <v>2496.111111111111</v>
      </c>
      <c r="D5">
        <f>(VLOOKUP(A5,Heat!$A$67:$F$108,6,FALSE))/gwh_conv</f>
        <v>823.3333333333333</v>
      </c>
      <c r="E5" s="18">
        <f>(VLOOKUP(A5,'All products'!$A$177:$F$218,6,FALSE))/(VLOOKUP(A5,'All products'!$A$67:$F$108,6,FALSE))</f>
        <v>0.49933701316722684</v>
      </c>
      <c r="F5" s="18">
        <f>IF(VLOOKUP(A5,'All products'!$A$12:$F$53,6,FALSE)&gt;0,IF(((VLOOKUP(A5,'All products'!$A$122:$F$163,6,FALSE))/(VLOOKUP(A5,'All products'!$A$12:$F$53,6,FALSE)))&lt;1,((VLOOKUP(A5,'All products'!$A$122:$F$163,6,FALSE))/(VLOOKUP(A5,'All products'!$A$12:$F$53,6,FALSE))),1),0)</f>
        <v>0.8240200166805671</v>
      </c>
      <c r="G5" s="20">
        <f>((VLOOKUP(A5,Heat!$A$287:$F$328,6,FALSE))-(VLOOKUP(A5,Heat!$A$12:Heat!$F$53,6,FALSE))-(VLOOKUP(A5,Heat!$A$67:$F$108,6,FALSE)))/gwh_conv</f>
        <v>0</v>
      </c>
      <c r="H5">
        <f>(VLOOKUP(A5,Electricity!$A$177:$F$218,6,FALSE))+(((VLOOKUP(A5,Heat!$A$287:$F$328,6,FALSE))/gwh_conv))</f>
        <v>15645.444444444445</v>
      </c>
      <c r="I5">
        <f>((VLOOKUP(A5,Electricity!$A$122:$F$163,6,FALSE))+(VLOOKUP(A5,Heat!$A$177:$F$218,6,FALSE)))/gwh_conv</f>
        <v>460</v>
      </c>
      <c r="J5">
        <f>(VLOOKUP(A5,Electricity!$A$177:$F$218,6,FALSE))</f>
        <v>12326</v>
      </c>
      <c r="K5">
        <f>((VLOOKUP(A5,Electricity!$A$122:$F$163,6,FALSE)))/gwh_conv</f>
        <v>460</v>
      </c>
      <c r="L5">
        <f t="shared" si="0"/>
        <v>2995.0320101006982</v>
      </c>
      <c r="M5" s="21">
        <f t="shared" si="1"/>
        <v>0.19723044795020292</v>
      </c>
      <c r="N5" s="21">
        <f t="shared" si="2"/>
        <v>0.802769552049797</v>
      </c>
      <c r="O5">
        <f t="shared" si="3"/>
        <v>506865953301.16345</v>
      </c>
      <c r="P5">
        <f t="shared" si="4"/>
        <v>2063051412749.4263</v>
      </c>
      <c r="Q5">
        <f t="shared" si="5"/>
        <v>173.86241469319285</v>
      </c>
      <c r="R5" s="15" t="str">
        <f t="shared" si="6"/>
        <v>Switzerland</v>
      </c>
    </row>
    <row r="6" spans="1:18" ht="12.75">
      <c r="A6" s="6" t="s">
        <v>41</v>
      </c>
      <c r="B6">
        <f>VLOOKUP(A6,'1A1a dataviewer'!$A$5:$D$37,4,FALSE)</f>
        <v>6996.40360360623</v>
      </c>
      <c r="C6">
        <f>(VLOOKUP(A6,Heat!$A$122:$F$163,6,FALSE))/gwh_conv</f>
        <v>26901.666666666664</v>
      </c>
      <c r="D6">
        <f>(VLOOKUP(A6,Heat!$A$67:$F$108,6,FALSE))/gwh_conv</f>
        <v>17438.055555555555</v>
      </c>
      <c r="E6" s="18">
        <f>(VLOOKUP(A6,'All products'!$A$177:$F$218,6,FALSE))/(VLOOKUP(A6,'All products'!$A$67:$F$108,6,FALSE))</f>
        <v>0.8581361036441175</v>
      </c>
      <c r="F6" s="18">
        <f>IF(VLOOKUP(A6,'All products'!$A$12:$F$53,6,FALSE)&gt;0,IF(((VLOOKUP(A6,'All products'!$A$122:$F$163,6,FALSE))/(VLOOKUP(A6,'All products'!$A$12:$F$53,6,FALSE)))&lt;1,((VLOOKUP(A6,'All products'!$A$122:$F$163,6,FALSE))/(VLOOKUP(A6,'All products'!$A$12:$F$53,6,FALSE))),1),0)</f>
        <v>1</v>
      </c>
      <c r="G6" s="20">
        <f>((VLOOKUP(A6,Heat!$A$287:$F$328,6,FALSE))-(VLOOKUP(A6,Heat!$A$12:Heat!$F$53,6,FALSE))-(VLOOKUP(A6,Heat!$A$67:$F$108,6,FALSE)))/gwh_conv</f>
        <v>0</v>
      </c>
      <c r="H6">
        <f>(VLOOKUP(A6,Electricity!$A$177:$F$218,6,FALSE))+(((VLOOKUP(A6,Heat!$A$287:$F$328,6,FALSE))/gwh_conv))</f>
        <v>199378.22222222222</v>
      </c>
      <c r="I6">
        <f>((VLOOKUP(A6,Electricity!$A$122:$F$163,6,FALSE))+(VLOOKUP(A6,Heat!$A$177:$F$218,6,FALSE)))/gwh_conv</f>
        <v>11458.611111111111</v>
      </c>
      <c r="J6">
        <f>(VLOOKUP(A6,Electricity!$A$177:$F$218,6,FALSE))</f>
        <v>150036</v>
      </c>
      <c r="K6">
        <f>((VLOOKUP(A6,Electricity!$A$122:$F$163,6,FALSE)))/gwh_conv</f>
        <v>6456.111111111111</v>
      </c>
      <c r="L6">
        <f t="shared" si="0"/>
        <v>41865.89171624077</v>
      </c>
      <c r="M6" s="21">
        <f t="shared" si="1"/>
        <v>0.22278617685882052</v>
      </c>
      <c r="N6" s="21">
        <f t="shared" si="2"/>
        <v>0.7772138231411795</v>
      </c>
      <c r="O6">
        <f t="shared" si="3"/>
        <v>1558702010608.7068</v>
      </c>
      <c r="P6">
        <f t="shared" si="4"/>
        <v>5437701592997.523</v>
      </c>
      <c r="Q6">
        <f t="shared" si="5"/>
        <v>37.87230673514142</v>
      </c>
      <c r="R6" s="15" t="str">
        <f t="shared" si="6"/>
        <v>Sweden</v>
      </c>
    </row>
    <row r="7" spans="1:18" ht="12.75">
      <c r="A7" s="6" t="s">
        <v>25</v>
      </c>
      <c r="B7">
        <f>VLOOKUP(A7,'1A1a dataviewer'!$A$5:$D$37,4,FALSE)</f>
        <v>44778.19291068</v>
      </c>
      <c r="C7">
        <f>(VLOOKUP(A7,Heat!$A$122:$F$163,6,FALSE))/gwh_conv</f>
        <v>0</v>
      </c>
      <c r="D7">
        <f>(VLOOKUP(A7,Heat!$A$67:$F$108,6,FALSE))/gwh_conv</f>
        <v>0</v>
      </c>
      <c r="E7" s="18">
        <f>(VLOOKUP(A7,'All products'!$A$177:$F$218,6,FALSE))/(VLOOKUP(A7,'All products'!$A$67:$F$108,6,FALSE))</f>
        <v>0.5343703204422193</v>
      </c>
      <c r="F7" s="18">
        <f>IF(VLOOKUP(A7,'All products'!$A$12:$F$53,6,FALSE)&gt;0,IF(((VLOOKUP(A7,'All products'!$A$122:$F$163,6,FALSE))/(VLOOKUP(A7,'All products'!$A$12:$F$53,6,FALSE)))&lt;1,((VLOOKUP(A7,'All products'!$A$122:$F$163,6,FALSE))/(VLOOKUP(A7,'All products'!$A$12:$F$53,6,FALSE))),1),0)</f>
        <v>0</v>
      </c>
      <c r="G7" s="20">
        <f>((VLOOKUP(A7,Heat!$A$287:$F$328,6,FALSE))-(VLOOKUP(A7,Heat!$A$12:Heat!$F$53,6,FALSE))-(VLOOKUP(A7,Heat!$A$67:$F$108,6,FALSE)))/gwh_conv</f>
        <v>0</v>
      </c>
      <c r="H7">
        <f>(VLOOKUP(A7,Electricity!$A$177:$F$218,6,FALSE))+(((VLOOKUP(A7,Heat!$A$287:$F$328,6,FALSE))/gwh_conv))</f>
        <v>576034</v>
      </c>
      <c r="I7">
        <f>((VLOOKUP(A7,Electricity!$A$122:$F$163,6,FALSE))+(VLOOKUP(A7,Heat!$A$177:$F$218,6,FALSE)))/gwh_conv</f>
        <v>18108.055555555555</v>
      </c>
      <c r="J7">
        <f>(VLOOKUP(A7,Electricity!$A$177:$F$218,6,FALSE))</f>
        <v>576034</v>
      </c>
      <c r="K7">
        <f>((VLOOKUP(A7,Electricity!$A$122:$F$163,6,FALSE)))/gwh_conv</f>
        <v>18108.055555555555</v>
      </c>
      <c r="L7">
        <f t="shared" si="0"/>
        <v>0</v>
      </c>
      <c r="M7" s="21">
        <f t="shared" si="1"/>
        <v>0</v>
      </c>
      <c r="N7" s="21">
        <f t="shared" si="2"/>
        <v>1</v>
      </c>
      <c r="O7">
        <f t="shared" si="3"/>
        <v>0</v>
      </c>
      <c r="P7">
        <f t="shared" si="4"/>
        <v>44778192910680</v>
      </c>
      <c r="Q7">
        <f t="shared" si="5"/>
        <v>80.25830911173695</v>
      </c>
      <c r="R7" s="15" t="str">
        <f t="shared" si="6"/>
        <v>France</v>
      </c>
    </row>
    <row r="8" spans="1:18" ht="12.75">
      <c r="A8" s="6" t="s">
        <v>33</v>
      </c>
      <c r="B8">
        <f>VLOOKUP(A8,'1A1a dataviewer'!$A$5:$D$37,4,FALSE)</f>
        <v>1935.25798837191</v>
      </c>
      <c r="C8">
        <f>(VLOOKUP(A8,Heat!$A$122:$F$163,6,FALSE))/gwh_conv</f>
        <v>3800</v>
      </c>
      <c r="D8">
        <f>(VLOOKUP(A8,Heat!$A$67:$F$108,6,FALSE))/gwh_conv</f>
        <v>3477.777777777778</v>
      </c>
      <c r="E8" s="18">
        <f>(VLOOKUP(A8,'All products'!$A$177:$F$218,6,FALSE))/(VLOOKUP(A8,'All products'!$A$67:$F$108,6,FALSE))</f>
        <v>0.8252411953878735</v>
      </c>
      <c r="F8" s="18">
        <f>IF(VLOOKUP(A8,'All products'!$A$12:$F$53,6,FALSE)&gt;0,IF(((VLOOKUP(A8,'All products'!$A$122:$F$163,6,FALSE))/(VLOOKUP(A8,'All products'!$A$12:$F$53,6,FALSE)))&lt;1,((VLOOKUP(A8,'All products'!$A$122:$F$163,6,FALSE))/(VLOOKUP(A8,'All products'!$A$12:$F$53,6,FALSE))),1),0)</f>
        <v>0.8115641407921177</v>
      </c>
      <c r="G8" s="20">
        <f>((VLOOKUP(A8,Heat!$A$287:$F$328,6,FALSE))-(VLOOKUP(A8,Heat!$A$12:Heat!$F$53,6,FALSE))-(VLOOKUP(A8,Heat!$A$67:$F$108,6,FALSE)))/gwh_conv</f>
        <v>0</v>
      </c>
      <c r="H8">
        <f>(VLOOKUP(A8,Electricity!$A$177:$F$218,6,FALSE))+(((VLOOKUP(A8,Heat!$A$287:$F$328,6,FALSE))/gwh_conv))</f>
        <v>12607.888888888889</v>
      </c>
      <c r="I8">
        <f>((VLOOKUP(A8,Electricity!$A$122:$F$163,6,FALSE))+(VLOOKUP(A8,Heat!$A$177:$F$218,6,FALSE)))/gwh_conv</f>
        <v>117.22222222222221</v>
      </c>
      <c r="J8">
        <f>(VLOOKUP(A8,Electricity!$A$177:$F$218,6,FALSE))</f>
        <v>5274</v>
      </c>
      <c r="K8">
        <f>((VLOOKUP(A8,Electricity!$A$122:$F$163,6,FALSE)))/gwh_conv</f>
        <v>61.11111111111111</v>
      </c>
      <c r="L8">
        <f t="shared" si="0"/>
        <v>7336.387755902424</v>
      </c>
      <c r="M8" s="21">
        <f t="shared" si="1"/>
        <v>0.5873495748213939</v>
      </c>
      <c r="N8" s="21">
        <f t="shared" si="2"/>
        <v>0.41265042517860606</v>
      </c>
      <c r="O8">
        <f t="shared" si="3"/>
        <v>1136672956639.9475</v>
      </c>
      <c r="P8">
        <f t="shared" si="4"/>
        <v>798585031731.9625</v>
      </c>
      <c r="Q8">
        <f t="shared" si="5"/>
        <v>153.19433211671208</v>
      </c>
      <c r="R8" s="15" t="str">
        <f t="shared" si="6"/>
        <v>Latvia</v>
      </c>
    </row>
    <row r="9" spans="1:18" ht="12.75">
      <c r="A9" s="22" t="s">
        <v>8</v>
      </c>
      <c r="B9">
        <f>VLOOKUP(A9,'1A1a dataviewer'!$A$5:$D$37,4,FALSE)</f>
        <v>10089.0498095285</v>
      </c>
      <c r="C9">
        <f>(VLOOKUP(A9,Heat!$A$122:$F$163,6,FALSE))/gwh_conv</f>
        <v>10748.888888888889</v>
      </c>
      <c r="D9">
        <f>(VLOOKUP(A9,Heat!$A$67:$F$108,6,FALSE))/gwh_conv</f>
        <v>6052.5</v>
      </c>
      <c r="E9" s="18">
        <f>(VLOOKUP(A9,'All products'!$A$177:$F$218,6,FALSE))/(VLOOKUP(A9,'All products'!$A$67:$F$108,6,FALSE))</f>
        <v>0.6005389428708419</v>
      </c>
      <c r="F9" s="18">
        <f>IF(VLOOKUP(A9,'All products'!$A$12:$F$53,6,FALSE)&gt;0,IF(((VLOOKUP(A9,'All products'!$A$122:$F$163,6,FALSE))/(VLOOKUP(A9,'All products'!$A$12:$F$53,6,FALSE)))&lt;1,((VLOOKUP(A9,'All products'!$A$122:$F$163,6,FALSE))/(VLOOKUP(A9,'All products'!$A$12:$F$53,6,FALSE))),1),0)</f>
        <v>0.7560112418028521</v>
      </c>
      <c r="G9" s="20">
        <f>((VLOOKUP(A9,Heat!$A$287:$F$328,6,FALSE))-(VLOOKUP(A9,Heat!$A$12:Heat!$F$53,6,FALSE))-(VLOOKUP(A9,Heat!$A$67:$F$108,6,FALSE)))/gwh_conv</f>
        <v>0</v>
      </c>
      <c r="H9">
        <f>(VLOOKUP(A9,Electricity!$A$177:$F$218,6,FALSE))+(((VLOOKUP(A9,Heat!$A$287:$F$328,6,FALSE))/gwh_conv))</f>
        <v>85915.16666666667</v>
      </c>
      <c r="I9">
        <f>((VLOOKUP(A9,Electricity!$A$122:$F$163,6,FALSE))+(VLOOKUP(A9,Heat!$A$177:$F$218,6,FALSE)))/gwh_conv</f>
        <v>9656.666666666666</v>
      </c>
      <c r="J9">
        <f>(VLOOKUP(A9,Electricity!$A$177:$F$218,6,FALSE))</f>
        <v>67101</v>
      </c>
      <c r="K9">
        <f>((VLOOKUP(A9,Electricity!$A$122:$F$163,6,FALSE)))/gwh_conv</f>
        <v>7643.888888888889</v>
      </c>
      <c r="L9">
        <f>IF(F9&gt;0,C9+G9+(D9*(E9/F9)),C9+G9+(D9*E9))</f>
        <v>15556.703575689036</v>
      </c>
      <c r="M9" s="21">
        <f t="shared" si="1"/>
        <v>0.20399960103711764</v>
      </c>
      <c r="N9" s="21">
        <f>1-M9</f>
        <v>0.7960003989628823</v>
      </c>
      <c r="O9">
        <f t="shared" si="3"/>
        <v>2058162135987.4216</v>
      </c>
      <c r="P9">
        <f t="shared" si="4"/>
        <v>8030887673541.078</v>
      </c>
      <c r="Q9">
        <f t="shared" si="5"/>
        <v>135.07026364825012</v>
      </c>
      <c r="R9" s="15" t="str">
        <f t="shared" si="6"/>
        <v>Austria</v>
      </c>
    </row>
    <row r="10" spans="1:18" ht="12.75">
      <c r="A10" s="6" t="s">
        <v>43</v>
      </c>
      <c r="B10">
        <f>VLOOKUP(A10,'1A1a dataviewer'!$A$5:$D$37,4,FALSE)</f>
        <v>7593.04618183432</v>
      </c>
      <c r="C10">
        <f>(VLOOKUP(A10,Heat!$A$122:$F$163,6,FALSE))/gwh_conv</f>
        <v>4587.5</v>
      </c>
      <c r="D10">
        <f>(VLOOKUP(A10,Heat!$A$67:$F$108,6,FALSE))/gwh_conv</f>
        <v>5212.222222222222</v>
      </c>
      <c r="E10" s="18">
        <f>(VLOOKUP(A10,'All products'!$A$177:$F$218,6,FALSE))/(VLOOKUP(A10,'All products'!$A$67:$F$108,6,FALSE))</f>
        <v>0.5070915454043102</v>
      </c>
      <c r="F10" s="18">
        <f>IF(VLOOKUP(A10,'All products'!$A$12:$F$53,6,FALSE)&gt;0,IF(((VLOOKUP(A10,'All products'!$A$122:$F$163,6,FALSE))/(VLOOKUP(A10,'All products'!$A$12:$F$53,6,FALSE)))&lt;1,((VLOOKUP(A10,'All products'!$A$122:$F$163,6,FALSE))/(VLOOKUP(A10,'All products'!$A$12:$F$53,6,FALSE))),1),0)</f>
        <v>0.8935238095238095</v>
      </c>
      <c r="G10" s="20">
        <f>((VLOOKUP(A10,Heat!$A$287:$F$328,6,FALSE))-(VLOOKUP(A10,Heat!$A$12:Heat!$F$53,6,FALSE))-(VLOOKUP(A10,Heat!$A$67:$F$108,6,FALSE)))/gwh_conv</f>
        <v>556.6666666666666</v>
      </c>
      <c r="H10">
        <f>(VLOOKUP(A10,Electricity!$A$177:$F$218,6,FALSE))+(((VLOOKUP(A10,Heat!$A$287:$F$328,6,FALSE))/gwh_conv))</f>
        <v>40017.27777777778</v>
      </c>
      <c r="I10">
        <f>((VLOOKUP(A10,Electricity!$A$122:$F$163,6,FALSE))+(VLOOKUP(A10,Heat!$A$177:$F$218,6,FALSE)))/gwh_conv</f>
        <v>3355.833333333333</v>
      </c>
      <c r="J10">
        <f>(VLOOKUP(A10,Electricity!$A$177:$F$218,6,FALSE))</f>
        <v>28962</v>
      </c>
      <c r="K10">
        <f>((VLOOKUP(A10,Electricity!$A$122:$F$163,6,FALSE)))/gwh_conv</f>
        <v>2656.9444444444443</v>
      </c>
      <c r="L10">
        <f t="shared" si="0"/>
        <v>8102.2006815251425</v>
      </c>
      <c r="M10" s="21">
        <f t="shared" si="1"/>
        <v>0.2210005853370822</v>
      </c>
      <c r="N10" s="21">
        <f t="shared" si="2"/>
        <v>0.7789994146629178</v>
      </c>
      <c r="O10">
        <f t="shared" si="3"/>
        <v>1678067650676.8818</v>
      </c>
      <c r="P10">
        <f t="shared" si="4"/>
        <v>5914978531157.4375</v>
      </c>
      <c r="Q10">
        <f t="shared" si="5"/>
        <v>224.86090244763656</v>
      </c>
      <c r="R10" s="15" t="str">
        <f t="shared" si="6"/>
        <v>Slovakia</v>
      </c>
    </row>
    <row r="11" spans="1:18" ht="12.75">
      <c r="A11" s="6" t="s">
        <v>9</v>
      </c>
      <c r="B11">
        <f>VLOOKUP(A11,'1A1a dataviewer'!$A$5:$D$37,4,FALSE)</f>
        <v>19794.39642458</v>
      </c>
      <c r="C11">
        <f>(VLOOKUP(A11,Heat!$A$122:$F$163,6,FALSE))/gwh_conv</f>
        <v>7921.111111111111</v>
      </c>
      <c r="D11">
        <f>(VLOOKUP(A11,Heat!$A$67:$F$108,6,FALSE))/gwh_conv</f>
        <v>33.05555555555556</v>
      </c>
      <c r="E11" s="18">
        <f>(VLOOKUP(A11,'All products'!$A$177:$F$218,6,FALSE))/(VLOOKUP(A11,'All products'!$A$67:$F$108,6,FALSE))</f>
        <v>0.5395697313496736</v>
      </c>
      <c r="F11" s="18">
        <f>IF(VLOOKUP(A11,'All products'!$A$12:$F$53,6,FALSE)&gt;0,IF(((VLOOKUP(A11,'All products'!$A$122:$F$163,6,FALSE))/(VLOOKUP(A11,'All products'!$A$12:$F$53,6,FALSE)))&lt;1,((VLOOKUP(A11,'All products'!$A$122:$F$163,6,FALSE))/(VLOOKUP(A11,'All products'!$A$12:$F$53,6,FALSE))),1),0)</f>
        <v>1</v>
      </c>
      <c r="G11" s="20">
        <f>((VLOOKUP(A11,Heat!$A$287:$F$328,6,FALSE))-(VLOOKUP(A11,Heat!$A$12:Heat!$F$53,6,FALSE))-(VLOOKUP(A11,Heat!$A$67:$F$108,6,FALSE)))/gwh_conv</f>
        <v>0</v>
      </c>
      <c r="H11">
        <f>(VLOOKUP(A11,Electricity!$A$177:$F$218,6,FALSE))+(((VLOOKUP(A11,Heat!$A$287:$F$328,6,FALSE))/gwh_conv))</f>
        <v>92883.16666666667</v>
      </c>
      <c r="I11">
        <f>((VLOOKUP(A11,Electricity!$A$122:$F$163,6,FALSE))+(VLOOKUP(A11,Heat!$A$177:$F$218,6,FALSE)))/gwh_conv</f>
        <v>2836.9444444444443</v>
      </c>
      <c r="J11">
        <f>(VLOOKUP(A11,Electricity!$A$177:$F$218,6,FALSE))</f>
        <v>84929</v>
      </c>
      <c r="K11">
        <f>((VLOOKUP(A11,Electricity!$A$122:$F$163,6,FALSE)))/gwh_conv</f>
        <v>2836.9444444444443</v>
      </c>
      <c r="L11">
        <f t="shared" si="0"/>
        <v>7938.946888341837</v>
      </c>
      <c r="M11" s="21">
        <f t="shared" si="1"/>
        <v>0.08816524105530557</v>
      </c>
      <c r="N11" s="21">
        <f t="shared" si="2"/>
        <v>0.9118347589446945</v>
      </c>
      <c r="O11">
        <f t="shared" si="3"/>
        <v>1745177732317.3748</v>
      </c>
      <c r="P11">
        <f t="shared" si="4"/>
        <v>18049218692262.63</v>
      </c>
      <c r="Q11">
        <f t="shared" si="5"/>
        <v>219.86559564278267</v>
      </c>
      <c r="R11" s="15" t="str">
        <f t="shared" si="6"/>
        <v>Belgium</v>
      </c>
    </row>
    <row r="12" spans="1:18" ht="12.75">
      <c r="A12" s="6" t="s">
        <v>24</v>
      </c>
      <c r="B12">
        <f>VLOOKUP(A12,'1A1a dataviewer'!$A$5:$D$37,4,FALSE)</f>
        <v>20857.20435685</v>
      </c>
      <c r="C12">
        <f>(VLOOKUP(A12,Heat!$A$122:$F$163,6,FALSE))/gwh_conv</f>
        <v>33746.666666666664</v>
      </c>
      <c r="D12">
        <f>(VLOOKUP(A12,Heat!$A$67:$F$108,6,FALSE))/gwh_conv</f>
        <v>13500.833333333332</v>
      </c>
      <c r="E12" s="18">
        <f>(VLOOKUP(A12,'All products'!$A$177:$F$218,6,FALSE))/(VLOOKUP(A12,'All products'!$A$67:$F$108,6,FALSE))</f>
        <v>0.7431499786903502</v>
      </c>
      <c r="F12" s="18">
        <f>IF(VLOOKUP(A12,'All products'!$A$12:$F$53,6,FALSE)&gt;0,IF(((VLOOKUP(A12,'All products'!$A$122:$F$163,6,FALSE))/(VLOOKUP(A12,'All products'!$A$12:$F$53,6,FALSE)))&lt;1,((VLOOKUP(A12,'All products'!$A$122:$F$163,6,FALSE))/(VLOOKUP(A12,'All products'!$A$12:$F$53,6,FALSE))),1),0)</f>
        <v>1</v>
      </c>
      <c r="G12" s="20">
        <f>((VLOOKUP(A12,Heat!$A$287:$F$328,6,FALSE))-(VLOOKUP(A12,Heat!$A$12:Heat!$F$53,6,FALSE))-(VLOOKUP(A12,Heat!$A$67:$F$108,6,FALSE)))/gwh_conv</f>
        <v>0</v>
      </c>
      <c r="H12">
        <f>(VLOOKUP(A12,Electricity!$A$177:$F$218,6,FALSE))+(((VLOOKUP(A12,Heat!$A$287:$F$328,6,FALSE))/gwh_conv))</f>
        <v>129946.27777777778</v>
      </c>
      <c r="I12">
        <f>((VLOOKUP(A12,Electricity!$A$122:$F$163,6,FALSE))+(VLOOKUP(A12,Heat!$A$177:$F$218,6,FALSE)))/gwh_conv</f>
        <v>16049.722222222223</v>
      </c>
      <c r="J12">
        <f>(VLOOKUP(A12,Electricity!$A$177:$F$218,6,FALSE))</f>
        <v>77436</v>
      </c>
      <c r="K12">
        <f>((VLOOKUP(A12,Electricity!$A$122:$F$163,6,FALSE)))/gwh_conv</f>
        <v>10786.944444444443</v>
      </c>
      <c r="L12">
        <f t="shared" si="0"/>
        <v>43779.8106706353</v>
      </c>
      <c r="M12" s="21">
        <f t="shared" si="1"/>
        <v>0.3843822182074745</v>
      </c>
      <c r="N12" s="21">
        <f t="shared" si="2"/>
        <v>0.6156177817925255</v>
      </c>
      <c r="O12">
        <f t="shared" si="3"/>
        <v>8017138476292.6045</v>
      </c>
      <c r="P12">
        <f t="shared" si="4"/>
        <v>12840065880557.395</v>
      </c>
      <c r="Q12">
        <f t="shared" si="5"/>
        <v>192.65188041343677</v>
      </c>
      <c r="R12" s="15" t="str">
        <f t="shared" si="6"/>
        <v>Finland</v>
      </c>
    </row>
    <row r="13" spans="1:18" ht="12.75">
      <c r="A13" s="6" t="s">
        <v>28</v>
      </c>
      <c r="B13">
        <f>VLOOKUP(A13,'1A1a dataviewer'!$A$5:$D$37,4,FALSE)</f>
        <v>17718.5568379369</v>
      </c>
      <c r="C13">
        <f>(VLOOKUP(A13,Heat!$A$122:$F$163,6,FALSE))/gwh_conv</f>
        <v>10699.166666666666</v>
      </c>
      <c r="D13">
        <f>(VLOOKUP(A13,Heat!$A$67:$F$108,6,FALSE))/gwh_conv</f>
        <v>4692.222222222222</v>
      </c>
      <c r="E13" s="18">
        <f>(VLOOKUP(A13,'All products'!$A$177:$F$218,6,FALSE))/(VLOOKUP(A13,'All products'!$A$67:$F$108,6,FALSE))</f>
        <v>0.49916070603383245</v>
      </c>
      <c r="F13" s="18">
        <f>IF(VLOOKUP(A13,'All products'!$A$12:$F$53,6,FALSE)&gt;0,IF(((VLOOKUP(A13,'All products'!$A$122:$F$163,6,FALSE))/(VLOOKUP(A13,'All products'!$A$12:$F$53,6,FALSE)))&lt;1,((VLOOKUP(A13,'All products'!$A$122:$F$163,6,FALSE))/(VLOOKUP(A13,'All products'!$A$12:$F$53,6,FALSE))),1),0)</f>
        <v>0.8439670247314515</v>
      </c>
      <c r="G13" s="20">
        <f>((VLOOKUP(A13,Heat!$A$287:$F$328,6,FALSE))-(VLOOKUP(A13,Heat!$A$12:Heat!$F$53,6,FALSE))-(VLOOKUP(A13,Heat!$A$67:$F$108,6,FALSE)))/gwh_conv</f>
        <v>153.88888888888889</v>
      </c>
      <c r="H13">
        <f>(VLOOKUP(A13,Electricity!$A$177:$F$218,6,FALSE))+(((VLOOKUP(A13,Heat!$A$287:$F$328,6,FALSE))/gwh_conv))</f>
        <v>55615.555555555555</v>
      </c>
      <c r="I13">
        <f>((VLOOKUP(A13,Electricity!$A$122:$F$163,6,FALSE))+(VLOOKUP(A13,Heat!$A$177:$F$218,6,FALSE)))/gwh_conv</f>
        <v>427.22222222222223</v>
      </c>
      <c r="J13">
        <f>(VLOOKUP(A13,Electricity!$A$177:$F$218,6,FALSE))</f>
        <v>40025</v>
      </c>
      <c r="K13">
        <f>((VLOOKUP(A13,Electricity!$A$122:$F$163,6,FALSE)))/gwh_conv</f>
        <v>381.94444444444446</v>
      </c>
      <c r="L13">
        <f t="shared" si="0"/>
        <v>13628.250425351987</v>
      </c>
      <c r="M13" s="21">
        <f t="shared" si="1"/>
        <v>0.2469407862534712</v>
      </c>
      <c r="N13" s="21">
        <f t="shared" si="2"/>
        <v>0.7530592137465288</v>
      </c>
      <c r="O13">
        <f t="shared" si="3"/>
        <v>4375434356836.957</v>
      </c>
      <c r="P13">
        <f t="shared" si="4"/>
        <v>13343122481099.945</v>
      </c>
      <c r="Q13">
        <f t="shared" si="5"/>
        <v>336.5815852009936</v>
      </c>
      <c r="R13" s="15" t="str">
        <f t="shared" si="6"/>
        <v>Hungary</v>
      </c>
    </row>
    <row r="14" spans="1:18" ht="12.75">
      <c r="A14" s="6" t="s">
        <v>14</v>
      </c>
      <c r="B14">
        <f>VLOOKUP(A14,'1A1a dataviewer'!$A$5:$D$37,4,FALSE)</f>
        <v>21032.3978136639</v>
      </c>
      <c r="C14">
        <f>(VLOOKUP(A14,Heat!$A$122:$F$163,6,FALSE))/gwh_conv</f>
        <v>22791.11111111111</v>
      </c>
      <c r="D14">
        <f>(VLOOKUP(A14,Heat!$A$67:$F$108,6,FALSE))/gwh_conv</f>
        <v>6965</v>
      </c>
      <c r="E14" s="18">
        <f>(VLOOKUP(A14,'All products'!$A$177:$F$218,6,FALSE))/(VLOOKUP(A14,'All products'!$A$67:$F$108,6,FALSE))</f>
        <v>0.6791616816186655</v>
      </c>
      <c r="F14" s="18">
        <f>IF(VLOOKUP(A14,'All products'!$A$12:$F$53,6,FALSE)&gt;0,IF(((VLOOKUP(A14,'All products'!$A$122:$F$163,6,FALSE))/(VLOOKUP(A14,'All products'!$A$12:$F$53,6,FALSE)))&lt;1,((VLOOKUP(A14,'All products'!$A$122:$F$163,6,FALSE))/(VLOOKUP(A14,'All products'!$A$12:$F$53,6,FALSE))),1),0)</f>
        <v>1</v>
      </c>
      <c r="G14" s="20">
        <f>((VLOOKUP(A14,Heat!$A$287:$F$328,6,FALSE))-(VLOOKUP(A14,Heat!$A$12:Heat!$F$53,6,FALSE))-(VLOOKUP(A14,Heat!$A$67:$F$108,6,FALSE)))/gwh_conv</f>
        <v>0</v>
      </c>
      <c r="H14">
        <f>(VLOOKUP(A14,Electricity!$A$177:$F$218,6,FALSE))+(((VLOOKUP(A14,Heat!$A$287:$F$328,6,FALSE))/gwh_conv))</f>
        <v>70752.94444444444</v>
      </c>
      <c r="I14">
        <f>((VLOOKUP(A14,Electricity!$A$122:$F$163,6,FALSE))+(VLOOKUP(A14,Heat!$A$177:$F$218,6,FALSE)))/gwh_conv</f>
        <v>6845.833333333333</v>
      </c>
      <c r="J14">
        <f>(VLOOKUP(A14,Electricity!$A$177:$F$218,6,FALSE))</f>
        <v>36391</v>
      </c>
      <c r="K14">
        <f>((VLOOKUP(A14,Electricity!$A$122:$F$163,6,FALSE)))/gwh_conv</f>
        <v>2240</v>
      </c>
      <c r="L14">
        <f t="shared" si="0"/>
        <v>27521.472223585115</v>
      </c>
      <c r="M14" s="21">
        <f t="shared" si="1"/>
        <v>0.4306480412756467</v>
      </c>
      <c r="N14" s="21">
        <f t="shared" si="2"/>
        <v>0.5693519587243533</v>
      </c>
      <c r="O14">
        <f t="shared" si="3"/>
        <v>9057560921784.555</v>
      </c>
      <c r="P14">
        <f t="shared" si="4"/>
        <v>11974836891879.348</v>
      </c>
      <c r="Q14">
        <f t="shared" si="5"/>
        <v>350.6438139989853</v>
      </c>
      <c r="R14" s="15" t="str">
        <f t="shared" si="6"/>
        <v>Denmark</v>
      </c>
    </row>
    <row r="15" spans="1:18" ht="12.75">
      <c r="A15" s="6" t="s">
        <v>31</v>
      </c>
      <c r="B15">
        <f>VLOOKUP(A15,'1A1a dataviewer'!$A$5:$D$37,4,FALSE)</f>
        <v>116251.623160743</v>
      </c>
      <c r="C15">
        <f>(VLOOKUP(A15,Heat!$A$122:$F$163,6,FALSE))/gwh_conv</f>
        <v>22448.61111111111</v>
      </c>
      <c r="D15">
        <f>(VLOOKUP(A15,Heat!$A$67:$F$108,6,FALSE))/gwh_conv</f>
        <v>0</v>
      </c>
      <c r="E15" s="18">
        <f>(VLOOKUP(A15,'All products'!$A$177:$F$218,6,FALSE))/(VLOOKUP(A15,'All products'!$A$67:$F$108,6,FALSE))</f>
        <v>0.4604576857463313</v>
      </c>
      <c r="F15" s="18">
        <f>IF(VLOOKUP(A15,'All products'!$A$12:$F$53,6,FALSE)&gt;0,IF(((VLOOKUP(A15,'All products'!$A$122:$F$163,6,FALSE))/(VLOOKUP(A15,'All products'!$A$12:$F$53,6,FALSE)))&lt;1,((VLOOKUP(A15,'All products'!$A$122:$F$163,6,FALSE))/(VLOOKUP(A15,'All products'!$A$12:$F$53,6,FALSE))),1),0)</f>
        <v>0</v>
      </c>
      <c r="G15" s="20">
        <f>((VLOOKUP(A15,Heat!$A$287:$F$328,6,FALSE))-(VLOOKUP(A15,Heat!$A$12:Heat!$F$53,6,FALSE))-(VLOOKUP(A15,Heat!$A$67:$F$108,6,FALSE)))/gwh_conv</f>
        <v>0</v>
      </c>
      <c r="H15">
        <f>(VLOOKUP(A15,Electricity!$A$177:$F$218,6,FALSE))+(((VLOOKUP(A15,Heat!$A$287:$F$328,6,FALSE))/gwh_conv))</f>
        <v>374232.6111111111</v>
      </c>
      <c r="I15">
        <f>((VLOOKUP(A15,Electricity!$A$122:$F$163,6,FALSE))+(VLOOKUP(A15,Heat!$A$177:$F$218,6,FALSE)))/gwh_conv</f>
        <v>50540</v>
      </c>
      <c r="J15">
        <f>(VLOOKUP(A15,Electricity!$A$177:$F$218,6,FALSE))</f>
        <v>319129</v>
      </c>
      <c r="K15">
        <f>((VLOOKUP(A15,Electricity!$A$122:$F$163,6,FALSE)))/gwh_conv</f>
        <v>17885</v>
      </c>
      <c r="L15">
        <f t="shared" si="0"/>
        <v>22448.61111111111</v>
      </c>
      <c r="M15" s="21">
        <f t="shared" si="1"/>
        <v>0.06935163281625038</v>
      </c>
      <c r="N15" s="21">
        <f t="shared" si="2"/>
        <v>0.9306483671837497</v>
      </c>
      <c r="O15">
        <f t="shared" si="3"/>
        <v>8062239883736.957</v>
      </c>
      <c r="P15">
        <f t="shared" si="4"/>
        <v>108189383277006.05</v>
      </c>
      <c r="Q15">
        <f t="shared" si="5"/>
        <v>359.14203528371036</v>
      </c>
      <c r="R15" s="15" t="str">
        <f t="shared" si="6"/>
        <v>Italy</v>
      </c>
    </row>
    <row r="16" spans="1:18" ht="12.75">
      <c r="A16" s="6" t="s">
        <v>92</v>
      </c>
      <c r="B16">
        <f>VLOOKUP(A16,'1A1a dataviewer'!$A$5:$D$37,4,FALSE)</f>
        <v>1147.16097642924</v>
      </c>
      <c r="C16">
        <f>(VLOOKUP(A16,Heat!$A$122:$F$163,6,FALSE))/gwh_conv</f>
        <v>0</v>
      </c>
      <c r="D16">
        <f>(VLOOKUP(A16,Heat!$A$67:$F$108,6,FALSE))/gwh_conv</f>
        <v>0</v>
      </c>
      <c r="E16" s="18">
        <f>(VLOOKUP(A16,'All products'!$A$177:$F$218,6,FALSE))/(VLOOKUP(A16,'All products'!$A$67:$F$108,6,FALSE))</f>
        <v>0.5046641165022482</v>
      </c>
      <c r="F16" s="18">
        <f>IF(VLOOKUP(A16,'All products'!$A$12:$F$53,6,FALSE)&gt;0,IF(((VLOOKUP(A16,'All products'!$A$122:$F$163,6,FALSE))/(VLOOKUP(A16,'All products'!$A$12:$F$53,6,FALSE)))&lt;1,((VLOOKUP(A16,'All products'!$A$122:$F$163,6,FALSE))/(VLOOKUP(A16,'All products'!$A$12:$F$53,6,FALSE))),1),0)</f>
        <v>0</v>
      </c>
      <c r="G16" s="20">
        <f>((VLOOKUP(A16,Heat!$A$287:$F$328,6,FALSE))-(VLOOKUP(A16,Heat!$A$12:Heat!$F$53,6,FALSE))-(VLOOKUP(A16,Heat!$A$67:$F$108,6,FALSE)))/gwh_conv</f>
        <v>0</v>
      </c>
      <c r="H16">
        <f>(VLOOKUP(A16,Electricity!$A$177:$F$218,6,FALSE))+(((VLOOKUP(A16,Heat!$A$287:$F$328,6,FALSE))/gwh_conv))</f>
        <v>4214.222222222223</v>
      </c>
      <c r="I16">
        <f>((VLOOKUP(A16,Electricity!$A$122:$F$163,6,FALSE))+(VLOOKUP(A16,Heat!$A$177:$F$218,6,FALSE)))/gwh_conv</f>
        <v>1079.1666666666667</v>
      </c>
      <c r="J16">
        <f>(VLOOKUP(A16,Electricity!$A$177:$F$218,6,FALSE))</f>
        <v>3557</v>
      </c>
      <c r="K16">
        <f>((VLOOKUP(A16,Electricity!$A$122:$F$163,6,FALSE)))/gwh_conv</f>
        <v>421.94444444444446</v>
      </c>
      <c r="L16">
        <f t="shared" si="0"/>
        <v>0</v>
      </c>
      <c r="M16" s="21">
        <f t="shared" si="1"/>
        <v>0</v>
      </c>
      <c r="N16" s="21">
        <f t="shared" si="2"/>
        <v>1</v>
      </c>
      <c r="O16">
        <f t="shared" si="3"/>
        <v>0</v>
      </c>
      <c r="P16">
        <f t="shared" si="4"/>
        <v>1147160976429.24</v>
      </c>
      <c r="Q16">
        <f t="shared" si="5"/>
        <v>365.914082254901</v>
      </c>
      <c r="R16" s="15" t="str">
        <f t="shared" si="6"/>
        <v>Luxembourg </v>
      </c>
    </row>
    <row r="17" spans="1:18" ht="12.75">
      <c r="A17" s="6" t="s">
        <v>20</v>
      </c>
      <c r="B17">
        <f>VLOOKUP(A17,'1A1a dataviewer'!$A$5:$D$37,4,FALSE)</f>
        <v>90516.965551</v>
      </c>
      <c r="C17">
        <f>(VLOOKUP(A17,Heat!$A$122:$F$163,6,FALSE))/gwh_conv</f>
        <v>0</v>
      </c>
      <c r="D17">
        <f>(VLOOKUP(A17,Heat!$A$67:$F$108,6,FALSE))/gwh_conv</f>
        <v>0</v>
      </c>
      <c r="E17" s="18">
        <f>(VLOOKUP(A17,'All products'!$A$177:$F$218,6,FALSE))/(VLOOKUP(A17,'All products'!$A$67:$F$108,6,FALSE))</f>
        <v>0.4660245516194499</v>
      </c>
      <c r="F17" s="18">
        <f>IF(VLOOKUP(A17,'All products'!$A$12:$F$53,6,FALSE)&gt;0,IF(((VLOOKUP(A17,'All products'!$A$122:$F$163,6,FALSE))/(VLOOKUP(A17,'All products'!$A$12:$F$53,6,FALSE)))&lt;1,((VLOOKUP(A17,'All products'!$A$122:$F$163,6,FALSE))/(VLOOKUP(A17,'All products'!$A$12:$F$53,6,FALSE))),1),0)</f>
        <v>0</v>
      </c>
      <c r="G17" s="20">
        <f>((VLOOKUP(A17,Heat!$A$287:$F$328,6,FALSE))-(VLOOKUP(A17,Heat!$A$12:Heat!$F$53,6,FALSE))-(VLOOKUP(A17,Heat!$A$67:$F$108,6,FALSE)))/gwh_conv</f>
        <v>0</v>
      </c>
      <c r="H17">
        <f>(VLOOKUP(A17,Electricity!$A$177:$F$218,6,FALSE))+(((VLOOKUP(A17,Heat!$A$287:$F$328,6,FALSE))/gwh_conv))</f>
        <v>313746</v>
      </c>
      <c r="I17">
        <f>((VLOOKUP(A17,Electricity!$A$122:$F$163,6,FALSE))+(VLOOKUP(A17,Heat!$A$177:$F$218,6,FALSE)))/gwh_conv</f>
        <v>36983.055555555555</v>
      </c>
      <c r="J17">
        <f>(VLOOKUP(A17,Electricity!$A$177:$F$218,6,FALSE))</f>
        <v>313746</v>
      </c>
      <c r="K17">
        <f>((VLOOKUP(A17,Electricity!$A$122:$F$163,6,FALSE)))/gwh_conv</f>
        <v>36983.055555555555</v>
      </c>
      <c r="L17">
        <f t="shared" si="0"/>
        <v>0</v>
      </c>
      <c r="M17" s="21">
        <f t="shared" si="1"/>
        <v>0</v>
      </c>
      <c r="N17" s="21">
        <f t="shared" si="2"/>
        <v>1</v>
      </c>
      <c r="O17">
        <f t="shared" si="3"/>
        <v>0</v>
      </c>
      <c r="P17">
        <f t="shared" si="4"/>
        <v>90516965551000</v>
      </c>
      <c r="Q17">
        <f t="shared" si="5"/>
        <v>327.0559421626972</v>
      </c>
      <c r="R17" s="15" t="str">
        <f t="shared" si="6"/>
        <v>Spain</v>
      </c>
    </row>
    <row r="18" spans="1:18" ht="12.75">
      <c r="A18" s="6" t="s">
        <v>39</v>
      </c>
      <c r="B18">
        <f>VLOOKUP(A18,'1A1a dataviewer'!$A$5:$D$37,4,FALSE)</f>
        <v>16425.7819956669</v>
      </c>
      <c r="C18">
        <f>(VLOOKUP(A18,Heat!$A$122:$F$163,6,FALSE))/gwh_conv</f>
        <v>468.3333333333333</v>
      </c>
      <c r="D18">
        <f>(VLOOKUP(A18,Heat!$A$67:$F$108,6,FALSE))/gwh_conv</f>
        <v>0</v>
      </c>
      <c r="E18" s="18">
        <f>(VLOOKUP(A18,'All products'!$A$177:$F$218,6,FALSE))/(VLOOKUP(A18,'All products'!$A$67:$F$108,6,FALSE))</f>
        <v>0.4512029509460278</v>
      </c>
      <c r="F18" s="18">
        <f>IF(VLOOKUP(A18,'All products'!$A$12:$F$53,6,FALSE)&gt;0,IF(((VLOOKUP(A18,'All products'!$A$122:$F$163,6,FALSE))/(VLOOKUP(A18,'All products'!$A$12:$F$53,6,FALSE)))&lt;1,((VLOOKUP(A18,'All products'!$A$122:$F$163,6,FALSE))/(VLOOKUP(A18,'All products'!$A$12:$F$53,6,FALSE))),1),0)</f>
        <v>0</v>
      </c>
      <c r="G18" s="20">
        <f>((VLOOKUP(A18,Heat!$A$287:$F$328,6,FALSE))-(VLOOKUP(A18,Heat!$A$12:Heat!$F$53,6,FALSE))-(VLOOKUP(A18,Heat!$A$67:$F$108,6,FALSE)))/gwh_conv</f>
        <v>0</v>
      </c>
      <c r="H18">
        <f>(VLOOKUP(A18,Electricity!$A$177:$F$218,6,FALSE))+(((VLOOKUP(A18,Heat!$A$287:$F$328,6,FALSE))/gwh_conv))</f>
        <v>49649.833333333336</v>
      </c>
      <c r="I18">
        <f>((VLOOKUP(A18,Electricity!$A$122:$F$163,6,FALSE))+(VLOOKUP(A18,Heat!$A$177:$F$218,6,FALSE)))/gwh_conv</f>
        <v>9240.555555555555</v>
      </c>
      <c r="J18">
        <f>(VLOOKUP(A18,Electricity!$A$177:$F$218,6,FALSE))</f>
        <v>45969</v>
      </c>
      <c r="K18">
        <f>((VLOOKUP(A18,Electricity!$A$122:$F$163,6,FALSE)))/gwh_conv</f>
        <v>6028.055555555556</v>
      </c>
      <c r="L18">
        <f t="shared" si="0"/>
        <v>468.3333333333333</v>
      </c>
      <c r="M18" s="21">
        <f t="shared" si="1"/>
        <v>0.011589747678957114</v>
      </c>
      <c r="N18" s="21">
        <f t="shared" si="2"/>
        <v>0.9884102523210428</v>
      </c>
      <c r="O18">
        <f t="shared" si="3"/>
        <v>190370668759.336</v>
      </c>
      <c r="P18">
        <f t="shared" si="4"/>
        <v>16235411326907.564</v>
      </c>
      <c r="Q18">
        <f t="shared" si="5"/>
        <v>406.4854137210022</v>
      </c>
      <c r="R18" s="15" t="str">
        <f t="shared" si="6"/>
        <v>Portugal</v>
      </c>
    </row>
    <row r="19" spans="1:18" ht="12.75">
      <c r="A19" s="6" t="s">
        <v>42</v>
      </c>
      <c r="B19">
        <f>VLOOKUP(A19,'1A1a dataviewer'!$A$5:$D$37,4,FALSE)</f>
        <v>6346.55277127033</v>
      </c>
      <c r="C19">
        <f>(VLOOKUP(A19,Heat!$A$122:$F$163,6,FALSE))/gwh_conv</f>
        <v>1980.5555555555554</v>
      </c>
      <c r="D19">
        <f>(VLOOKUP(A19,Heat!$A$67:$F$108,6,FALSE))/gwh_conv</f>
        <v>572.7777777777777</v>
      </c>
      <c r="E19" s="18">
        <f>(VLOOKUP(A19,'All products'!$A$177:$F$218,6,FALSE))/(VLOOKUP(A19,'All products'!$A$67:$F$108,6,FALSE))</f>
        <v>0.4311368062690733</v>
      </c>
      <c r="F19" s="18">
        <f>IF(VLOOKUP(A19,'All products'!$A$12:$F$53,6,FALSE)&gt;0,IF(((VLOOKUP(A19,'All products'!$A$122:$F$163,6,FALSE))/(VLOOKUP(A19,'All products'!$A$12:$F$53,6,FALSE)))&lt;1,((VLOOKUP(A19,'All products'!$A$122:$F$163,6,FALSE))/(VLOOKUP(A19,'All products'!$A$12:$F$53,6,FALSE))),1),0)</f>
        <v>0.9209468512728897</v>
      </c>
      <c r="G19" s="20">
        <f>((VLOOKUP(A19,Heat!$A$287:$F$328,6,FALSE))-(VLOOKUP(A19,Heat!$A$12:Heat!$F$53,6,FALSE))-(VLOOKUP(A19,Heat!$A$67:$F$108,6,FALSE)))/gwh_conv</f>
        <v>0</v>
      </c>
      <c r="H19">
        <f>(VLOOKUP(A19,Electricity!$A$177:$F$218,6,FALSE))+(((VLOOKUP(A19,Heat!$A$287:$F$328,6,FALSE))/gwh_conv))</f>
        <v>18990.11111111111</v>
      </c>
      <c r="I19">
        <f>((VLOOKUP(A19,Electricity!$A$122:$F$163,6,FALSE))+(VLOOKUP(A19,Heat!$A$177:$F$218,6,FALSE)))/gwh_conv</f>
        <v>316.6666666666667</v>
      </c>
      <c r="J19">
        <f>(VLOOKUP(A19,Electricity!$A$177:$F$218,6,FALSE))</f>
        <v>16399</v>
      </c>
      <c r="K19">
        <f>((VLOOKUP(A19,Electricity!$A$122:$F$163,6,FALSE)))/gwh_conv</f>
        <v>278.88888888888886</v>
      </c>
      <c r="L19">
        <f t="shared" si="0"/>
        <v>2248.698697010126</v>
      </c>
      <c r="M19" s="21">
        <f t="shared" si="1"/>
        <v>0.12042227687025031</v>
      </c>
      <c r="N19" s="21">
        <f t="shared" si="2"/>
        <v>0.8795777231297497</v>
      </c>
      <c r="O19">
        <f t="shared" si="3"/>
        <v>764266334993.5701</v>
      </c>
      <c r="P19">
        <f t="shared" si="4"/>
        <v>5582286436276.76</v>
      </c>
      <c r="Q19">
        <f t="shared" si="5"/>
        <v>346.2932977198313</v>
      </c>
      <c r="R19" s="15" t="str">
        <f t="shared" si="6"/>
        <v>Slovenia</v>
      </c>
    </row>
    <row r="20" spans="1:18" ht="12.75">
      <c r="A20" s="6" t="s">
        <v>35</v>
      </c>
      <c r="B20">
        <f>VLOOKUP(A20,'1A1a dataviewer'!$A$5:$D$37,4,FALSE)</f>
        <v>52371.5530153999</v>
      </c>
      <c r="C20">
        <f>(VLOOKUP(A20,Heat!$A$122:$F$163,6,FALSE))/gwh_conv</f>
        <v>28072.222222222223</v>
      </c>
      <c r="D20">
        <f>(VLOOKUP(A20,Heat!$A$67:$F$108,6,FALSE))/gwh_conv</f>
        <v>4249.444444444444</v>
      </c>
      <c r="E20" s="18">
        <f>(VLOOKUP(A20,'All products'!$A$177:$F$218,6,FALSE))/(VLOOKUP(A20,'All products'!$A$67:$F$108,6,FALSE))</f>
        <v>0.5676244834579129</v>
      </c>
      <c r="F20" s="18">
        <f>IF(VLOOKUP(A20,'All products'!$A$12:$F$53,6,FALSE)&gt;0,IF(((VLOOKUP(A20,'All products'!$A$122:$F$163,6,FALSE))/(VLOOKUP(A20,'All products'!$A$12:$F$53,6,FALSE)))&lt;1,((VLOOKUP(A20,'All products'!$A$122:$F$163,6,FALSE))/(VLOOKUP(A20,'All products'!$A$12:$F$53,6,FALSE))),1),0)</f>
        <v>0.8582328190743338</v>
      </c>
      <c r="G20" s="20">
        <f>((VLOOKUP(A20,Heat!$A$287:$F$328,6,FALSE))-(VLOOKUP(A20,Heat!$A$12:Heat!$F$53,6,FALSE))-(VLOOKUP(A20,Heat!$A$67:$F$108,6,FALSE)))/gwh_conv</f>
        <v>0</v>
      </c>
      <c r="H20">
        <f>(VLOOKUP(A20,Electricity!$A$177:$F$218,6,FALSE))+(((VLOOKUP(A20,Heat!$A$287:$F$328,6,FALSE))/gwh_conv))</f>
        <v>145765.83333333334</v>
      </c>
      <c r="I20">
        <f>((VLOOKUP(A20,Electricity!$A$122:$F$163,6,FALSE))+(VLOOKUP(A20,Heat!$A$177:$F$218,6,FALSE)))/gwh_conv</f>
        <v>27749.166666666664</v>
      </c>
      <c r="J20">
        <f>(VLOOKUP(A20,Electricity!$A$177:$F$218,6,FALSE))</f>
        <v>107645</v>
      </c>
      <c r="K20">
        <f>((VLOOKUP(A20,Electricity!$A$122:$F$163,6,FALSE)))/gwh_conv</f>
        <v>21950</v>
      </c>
      <c r="L20">
        <f t="shared" si="0"/>
        <v>30882.751782677027</v>
      </c>
      <c r="M20" s="21">
        <f t="shared" si="1"/>
        <v>0.2616812748143795</v>
      </c>
      <c r="N20" s="21">
        <f t="shared" si="2"/>
        <v>0.7383187251856205</v>
      </c>
      <c r="O20">
        <f t="shared" si="3"/>
        <v>13704654757078.707</v>
      </c>
      <c r="P20">
        <f t="shared" si="4"/>
        <v>38666898258321.19</v>
      </c>
      <c r="Q20">
        <f t="shared" si="5"/>
        <v>451.2153364644517</v>
      </c>
      <c r="R20" s="15" t="str">
        <f t="shared" si="6"/>
        <v>Netherlands</v>
      </c>
    </row>
    <row r="21" spans="1:18" ht="12.75">
      <c r="A21" s="6" t="s">
        <v>45</v>
      </c>
      <c r="B21">
        <f>VLOOKUP(A21,'1A1a dataviewer'!$A$5:$D$37,4,FALSE)</f>
        <v>172998.912177626</v>
      </c>
      <c r="C21">
        <f>(VLOOKUP(A21,Heat!$A$122:$F$163,6,FALSE))/gwh_conv</f>
        <v>0</v>
      </c>
      <c r="D21">
        <f>(VLOOKUP(A21,Heat!$A$67:$F$108,6,FALSE))/gwh_conv</f>
        <v>14898.333333333332</v>
      </c>
      <c r="E21" s="18">
        <f>(VLOOKUP(A21,'All products'!$A$177:$F$218,6,FALSE))/(VLOOKUP(A21,'All products'!$A$67:$F$108,6,FALSE))</f>
        <v>0.44466470549054327</v>
      </c>
      <c r="F21" s="18">
        <f>IF(VLOOKUP(A21,'All products'!$A$12:$F$53,6,FALSE)&gt;0,IF(((VLOOKUP(A21,'All products'!$A$122:$F$163,6,FALSE))/(VLOOKUP(A21,'All products'!$A$12:$F$53,6,FALSE)))&lt;1,((VLOOKUP(A21,'All products'!$A$122:$F$163,6,FALSE))/(VLOOKUP(A21,'All products'!$A$12:$F$53,6,FALSE))),1),0)</f>
        <v>0.5886988782297543</v>
      </c>
      <c r="G21" s="20">
        <f>((VLOOKUP(A21,Heat!$A$287:$F$328,6,FALSE))-(VLOOKUP(A21,Heat!$A$12:Heat!$F$53,6,FALSE))-(VLOOKUP(A21,Heat!$A$67:$F$108,6,FALSE)))/gwh_conv</f>
        <v>0</v>
      </c>
      <c r="H21">
        <f>(VLOOKUP(A21,Electricity!$A$177:$F$218,6,FALSE))+(((VLOOKUP(A21,Heat!$A$287:$F$328,6,FALSE))/gwh_conv))</f>
        <v>404264.3333333333</v>
      </c>
      <c r="I21">
        <f>((VLOOKUP(A21,Electricity!$A$122:$F$163,6,FALSE))+(VLOOKUP(A21,Heat!$A$177:$F$218,6,FALSE)))/gwh_conv</f>
        <v>40493.055555555555</v>
      </c>
      <c r="J21">
        <f>(VLOOKUP(A21,Electricity!$A$177:$F$218,6,FALSE))</f>
        <v>389366</v>
      </c>
      <c r="K21">
        <f>((VLOOKUP(A21,Electricity!$A$122:$F$163,6,FALSE)))/gwh_conv</f>
        <v>40493.055555555555</v>
      </c>
      <c r="L21">
        <f t="shared" si="0"/>
        <v>11253.228516228177</v>
      </c>
      <c r="M21" s="21">
        <f t="shared" si="1"/>
        <v>0.03093490114165253</v>
      </c>
      <c r="N21" s="21">
        <f t="shared" si="2"/>
        <v>0.9690650988583475</v>
      </c>
      <c r="O21">
        <f t="shared" si="3"/>
        <v>5351704245828.288</v>
      </c>
      <c r="P21">
        <f t="shared" si="4"/>
        <v>167647207931797.72</v>
      </c>
      <c r="Q21">
        <f t="shared" si="5"/>
        <v>480.5394359220491</v>
      </c>
      <c r="R21" s="15" t="str">
        <f t="shared" si="6"/>
        <v>United Kingdom</v>
      </c>
    </row>
    <row r="22" spans="1:18" ht="12.75">
      <c r="A22" s="6" t="s">
        <v>89</v>
      </c>
      <c r="B22">
        <f>VLOOKUP(A22,'1A1a dataviewer'!$A$5:$D$37,4,FALSE)</f>
        <v>316924.154774619</v>
      </c>
      <c r="C22">
        <f>(VLOOKUP(A22,Heat!$A$122:$F$163,6,FALSE))/gwh_conv</f>
        <v>98718.88888888889</v>
      </c>
      <c r="D22">
        <f>(VLOOKUP(A22,Heat!$A$67:$F$108,6,FALSE))/gwh_conv</f>
        <v>34546.11111111111</v>
      </c>
      <c r="E22" s="18">
        <f>(VLOOKUP(A22,'All products'!$A$177:$F$218,6,FALSE))/(VLOOKUP(A22,'All products'!$A$67:$F$108,6,FALSE))</f>
        <v>0.47815971617995917</v>
      </c>
      <c r="F22" s="18">
        <f>IF(VLOOKUP(A22,'All products'!$A$12:$F$53,6,FALSE)&gt;0,IF(((VLOOKUP(A22,'All products'!$A$122:$F$163,6,FALSE))/(VLOOKUP(A22,'All products'!$A$12:$F$53,6,FALSE)))&lt;1,((VLOOKUP(A22,'All products'!$A$122:$F$163,6,FALSE))/(VLOOKUP(A22,'All products'!$A$12:$F$53,6,FALSE))),1),0)</f>
        <v>0.7676392343729747</v>
      </c>
      <c r="G22" s="20">
        <f>((VLOOKUP(A22,Heat!$A$287:$F$328,6,FALSE))-(VLOOKUP(A22,Heat!$A$12:Heat!$F$53,6,FALSE))-(VLOOKUP(A22,Heat!$A$67:$F$108,6,FALSE)))/gwh_conv</f>
        <v>0</v>
      </c>
      <c r="H22">
        <f>(VLOOKUP(A22,Electricity!$A$177:$F$218,6,FALSE))+(((VLOOKUP(A22,Heat!$A$287:$F$328,6,FALSE))/gwh_conv))</f>
        <v>770479</v>
      </c>
      <c r="I22">
        <f>((VLOOKUP(A22,Electricity!$A$122:$F$163,6,FALSE))+(VLOOKUP(A22,Heat!$A$177:$F$218,6,FALSE)))/gwh_conv</f>
        <v>48981.11111111111</v>
      </c>
      <c r="J22">
        <f>(VLOOKUP(A22,Electricity!$A$177:$F$218,6,FALSE))</f>
        <v>637214</v>
      </c>
      <c r="K22">
        <f>((VLOOKUP(A22,Electricity!$A$122:$F$163,6,FALSE)))/gwh_conv</f>
        <v>48981.11111111111</v>
      </c>
      <c r="L22">
        <f t="shared" si="0"/>
        <v>120237.53716056427</v>
      </c>
      <c r="M22" s="21">
        <f t="shared" si="1"/>
        <v>0.16664988077197398</v>
      </c>
      <c r="N22" s="21">
        <f t="shared" si="2"/>
        <v>0.833350119228026</v>
      </c>
      <c r="O22">
        <f t="shared" si="3"/>
        <v>52815372606948.88</v>
      </c>
      <c r="P22">
        <f t="shared" si="4"/>
        <v>264108782167670.1</v>
      </c>
      <c r="Q22">
        <f t="shared" si="5"/>
        <v>448.98676554203604</v>
      </c>
      <c r="R22" s="15" t="str">
        <f t="shared" si="6"/>
        <v>Germany </v>
      </c>
    </row>
    <row r="23" spans="1:18" ht="12.75">
      <c r="A23" s="6" t="s">
        <v>29</v>
      </c>
      <c r="B23">
        <f>VLOOKUP(A23,'1A1a dataviewer'!$A$5:$D$37,4,FALSE)</f>
        <v>14005.00032914</v>
      </c>
      <c r="C23">
        <f>(VLOOKUP(A23,Heat!$A$122:$F$163,6,FALSE))/gwh_conv</f>
        <v>0</v>
      </c>
      <c r="D23">
        <f>(VLOOKUP(A23,Heat!$A$67:$F$108,6,FALSE))/gwh_conv</f>
        <v>0</v>
      </c>
      <c r="E23" s="18">
        <f>(VLOOKUP(A23,'All products'!$A$177:$F$218,6,FALSE))/(VLOOKUP(A23,'All products'!$A$67:$F$108,6,FALSE))</f>
        <v>0.45462312163571655</v>
      </c>
      <c r="F23" s="18">
        <f>IF(VLOOKUP(A23,'All products'!$A$12:$F$53,6,FALSE)&gt;0,IF(((VLOOKUP(A23,'All products'!$A$122:$F$163,6,FALSE))/(VLOOKUP(A23,'All products'!$A$12:$F$53,6,FALSE)))&lt;1,((VLOOKUP(A23,'All products'!$A$122:$F$163,6,FALSE))/(VLOOKUP(A23,'All products'!$A$12:$F$53,6,FALSE))),1),0)</f>
        <v>0</v>
      </c>
      <c r="G23" s="20">
        <f>((VLOOKUP(A23,Heat!$A$287:$F$328,6,FALSE))-(VLOOKUP(A23,Heat!$A$12:Heat!$F$53,6,FALSE))-(VLOOKUP(A23,Heat!$A$67:$F$108,6,FALSE)))/gwh_conv</f>
        <v>0</v>
      </c>
      <c r="H23">
        <f>(VLOOKUP(A23,Electricity!$A$177:$F$218,6,FALSE))+(((VLOOKUP(A23,Heat!$A$287:$F$328,6,FALSE))/gwh_conv))</f>
        <v>29685</v>
      </c>
      <c r="I23">
        <f>((VLOOKUP(A23,Electricity!$A$122:$F$163,6,FALSE))+(VLOOKUP(A23,Heat!$A$177:$F$218,6,FALSE)))/gwh_conv</f>
        <v>1881.111111111111</v>
      </c>
      <c r="J23">
        <f>(VLOOKUP(A23,Electricity!$A$177:$F$218,6,FALSE))</f>
        <v>29685</v>
      </c>
      <c r="K23">
        <f>((VLOOKUP(A23,Electricity!$A$122:$F$163,6,FALSE)))/gwh_conv</f>
        <v>1881.111111111111</v>
      </c>
      <c r="L23">
        <f t="shared" si="0"/>
        <v>0</v>
      </c>
      <c r="M23" s="21">
        <f t="shared" si="1"/>
        <v>0</v>
      </c>
      <c r="N23" s="21">
        <f t="shared" si="2"/>
        <v>1</v>
      </c>
      <c r="O23">
        <f t="shared" si="3"/>
        <v>0</v>
      </c>
      <c r="P23">
        <f t="shared" si="4"/>
        <v>14005000329140</v>
      </c>
      <c r="Q23">
        <f t="shared" si="5"/>
        <v>503.7065277129898</v>
      </c>
      <c r="R23" s="15" t="str">
        <f t="shared" si="6"/>
        <v>Ireland</v>
      </c>
    </row>
    <row r="24" spans="1:18" ht="12.75">
      <c r="A24" s="6" t="s">
        <v>44</v>
      </c>
      <c r="B24">
        <f>VLOOKUP(A24,'1A1a dataviewer'!$A$5:$D$37,4,FALSE)</f>
        <v>101473.202</v>
      </c>
      <c r="C24">
        <f>(VLOOKUP(A24,Heat!$A$122:$F$163,6,FALSE))/gwh_conv</f>
        <v>6191.388888888889</v>
      </c>
      <c r="D24">
        <f>(VLOOKUP(A24,Heat!$A$67:$F$108,6,FALSE))/gwh_conv</f>
        <v>0</v>
      </c>
      <c r="E24" s="18">
        <f>(VLOOKUP(A24,'All products'!$A$177:$F$218,6,FALSE))/(VLOOKUP(A24,'All products'!$A$67:$F$108,6,FALSE))</f>
        <v>0.4577862160374358</v>
      </c>
      <c r="F24" s="18">
        <f>IF(VLOOKUP(A24,'All products'!$A$12:$F$53,6,FALSE)&gt;0,IF(((VLOOKUP(A24,'All products'!$A$122:$F$163,6,FALSE))/(VLOOKUP(A24,'All products'!$A$12:$F$53,6,FALSE)))&lt;1,((VLOOKUP(A24,'All products'!$A$122:$F$163,6,FALSE))/(VLOOKUP(A24,'All products'!$A$12:$F$53,6,FALSE))),1),0)</f>
        <v>0</v>
      </c>
      <c r="G24" s="20">
        <f>((VLOOKUP(A24,Heat!$A$287:$F$328,6,FALSE))-(VLOOKUP(A24,Heat!$A$12:Heat!$F$53,6,FALSE))-(VLOOKUP(A24,Heat!$A$67:$F$108,6,FALSE)))/gwh_conv</f>
        <v>0</v>
      </c>
      <c r="H24">
        <f>(VLOOKUP(A24,Electricity!$A$177:$F$218,6,FALSE))+(((VLOOKUP(A24,Heat!$A$287:$F$328,6,FALSE))/gwh_conv))</f>
        <v>210234.38888888888</v>
      </c>
      <c r="I24">
        <f>((VLOOKUP(A24,Electricity!$A$122:$F$163,6,FALSE))+(VLOOKUP(A24,Heat!$A$177:$F$218,6,FALSE)))/gwh_conv</f>
        <v>20596.944444444445</v>
      </c>
      <c r="J24">
        <f>(VLOOKUP(A24,Electricity!$A$177:$F$218,6,FALSE))</f>
        <v>198418</v>
      </c>
      <c r="K24">
        <f>((VLOOKUP(A24,Electricity!$A$122:$F$163,6,FALSE)))/gwh_conv</f>
        <v>14971.944444444443</v>
      </c>
      <c r="L24">
        <f t="shared" si="0"/>
        <v>6191.388888888889</v>
      </c>
      <c r="M24" s="21">
        <f t="shared" si="1"/>
        <v>0.03264855686611352</v>
      </c>
      <c r="N24" s="21">
        <f t="shared" si="2"/>
        <v>0.9673514431338864</v>
      </c>
      <c r="O24">
        <f t="shared" si="3"/>
        <v>3312953605883.6245</v>
      </c>
      <c r="P24">
        <f t="shared" si="4"/>
        <v>98160248394116.38</v>
      </c>
      <c r="Q24">
        <f t="shared" si="5"/>
        <v>535.0905370891941</v>
      </c>
      <c r="R24" s="15" t="str">
        <f t="shared" si="6"/>
        <v>Turkey</v>
      </c>
    </row>
    <row r="25" spans="1:18" ht="12.75">
      <c r="A25" s="6" t="s">
        <v>13</v>
      </c>
      <c r="B25">
        <f>VLOOKUP(A25,'1A1a dataviewer'!$A$5:$D$37,4,FALSE)</f>
        <v>60444.5983803258</v>
      </c>
      <c r="C25">
        <f>(VLOOKUP(A25,Heat!$A$122:$F$163,6,FALSE))/gwh_conv</f>
        <v>23393.61111111111</v>
      </c>
      <c r="D25">
        <f>(VLOOKUP(A25,Heat!$A$67:$F$108,6,FALSE))/gwh_conv</f>
        <v>7140.833333333333</v>
      </c>
      <c r="E25" s="18">
        <f>(VLOOKUP(A25,'All products'!$A$177:$F$218,6,FALSE))/(VLOOKUP(A25,'All products'!$A$67:$F$108,6,FALSE))</f>
        <v>0.446767521932319</v>
      </c>
      <c r="F25" s="18">
        <f>IF(VLOOKUP(A25,'All products'!$A$12:$F$53,6,FALSE)&gt;0,IF(((VLOOKUP(A25,'All products'!$A$122:$F$163,6,FALSE))/(VLOOKUP(A25,'All products'!$A$12:$F$53,6,FALSE)))&lt;1,((VLOOKUP(A25,'All products'!$A$122:$F$163,6,FALSE))/(VLOOKUP(A25,'All products'!$A$12:$F$53,6,FALSE))),1),0)</f>
        <v>0.8221767358556945</v>
      </c>
      <c r="G25" s="20">
        <f>((VLOOKUP(A25,Heat!$A$287:$F$328,6,FALSE))-(VLOOKUP(A25,Heat!$A$12:Heat!$F$53,6,FALSE))-(VLOOKUP(A25,Heat!$A$67:$F$108,6,FALSE)))/gwh_conv</f>
        <v>269.44444444444446</v>
      </c>
      <c r="H25">
        <f>(VLOOKUP(A25,Electricity!$A$177:$F$218,6,FALSE))+(((VLOOKUP(A25,Heat!$A$287:$F$328,6,FALSE))/gwh_conv))</f>
        <v>117485.5</v>
      </c>
      <c r="I25">
        <f>((VLOOKUP(A25,Electricity!$A$122:$F$163,6,FALSE))+(VLOOKUP(A25,Heat!$A$177:$F$218,6,FALSE)))/gwh_conv</f>
        <v>12167.5</v>
      </c>
      <c r="J25">
        <f>(VLOOKUP(A25,Electricity!$A$177:$F$218,6,FALSE))</f>
        <v>83518</v>
      </c>
      <c r="K25">
        <f>((VLOOKUP(A25,Electricity!$A$122:$F$163,6,FALSE)))/gwh_conv</f>
        <v>9003.888888888889</v>
      </c>
      <c r="L25">
        <f t="shared" si="0"/>
        <v>27543.35558562717</v>
      </c>
      <c r="M25" s="21">
        <f t="shared" si="1"/>
        <v>0.26152562321376377</v>
      </c>
      <c r="N25" s="21">
        <f t="shared" si="2"/>
        <v>0.7384743767862363</v>
      </c>
      <c r="O25">
        <f t="shared" si="3"/>
        <v>15807811261320.361</v>
      </c>
      <c r="P25">
        <f t="shared" si="4"/>
        <v>44636787119005.445</v>
      </c>
      <c r="Q25">
        <f t="shared" si="5"/>
        <v>599.0380406262334</v>
      </c>
      <c r="R25" s="15" t="str">
        <f t="shared" si="6"/>
        <v>Czech Republic</v>
      </c>
    </row>
    <row r="26" spans="1:18" ht="12.75">
      <c r="A26" s="6" t="s">
        <v>40</v>
      </c>
      <c r="B26">
        <f>VLOOKUP(A26,'1A1a dataviewer'!$A$5:$D$37,4,FALSE)</f>
        <v>45566.3058155012</v>
      </c>
      <c r="C26">
        <f>(VLOOKUP(A26,Heat!$A$122:$F$163,6,FALSE))/gwh_conv</f>
        <v>20729.444444444445</v>
      </c>
      <c r="D26">
        <f>(VLOOKUP(A26,Heat!$A$67:$F$108,6,FALSE))/gwh_conv</f>
        <v>6125</v>
      </c>
      <c r="E26" s="18">
        <f>(VLOOKUP(A26,'All products'!$A$177:$F$218,6,FALSE))/(VLOOKUP(A26,'All products'!$A$67:$F$108,6,FALSE))</f>
        <v>0.4671375753203869</v>
      </c>
      <c r="F26" s="18">
        <f>IF(VLOOKUP(A26,'All products'!$A$12:$F$53,6,FALSE)&gt;0,IF(((VLOOKUP(A26,'All products'!$A$122:$F$163,6,FALSE))/(VLOOKUP(A26,'All products'!$A$12:$F$53,6,FALSE)))&lt;1,((VLOOKUP(A26,'All products'!$A$122:$F$163,6,FALSE))/(VLOOKUP(A26,'All products'!$A$12:$F$53,6,FALSE))),1),0)</f>
        <v>0.9</v>
      </c>
      <c r="G26" s="20">
        <f>((VLOOKUP(A26,Heat!$A$287:$F$328,6,FALSE))-(VLOOKUP(A26,Heat!$A$12:Heat!$F$53,6,FALSE))-(VLOOKUP(A26,Heat!$A$67:$F$108,6,FALSE)))/gwh_conv</f>
        <v>0</v>
      </c>
      <c r="H26">
        <f>(VLOOKUP(A26,Electricity!$A$177:$F$218,6,FALSE))+(((VLOOKUP(A26,Heat!$A$287:$F$328,6,FALSE))/gwh_conv))</f>
        <v>92925.83333333333</v>
      </c>
      <c r="I26">
        <f>((VLOOKUP(A26,Electricity!$A$122:$F$163,6,FALSE))+(VLOOKUP(A26,Heat!$A$177:$F$218,6,FALSE)))/gwh_conv</f>
        <v>3871.3888888888887</v>
      </c>
      <c r="J26">
        <f>(VLOOKUP(A26,Electricity!$A$177:$F$218,6,FALSE))</f>
        <v>64955</v>
      </c>
      <c r="K26">
        <f>((VLOOKUP(A26,Electricity!$A$122:$F$163,6,FALSE)))/gwh_conv</f>
        <v>2755</v>
      </c>
      <c r="L26">
        <f t="shared" si="0"/>
        <v>23908.575165374856</v>
      </c>
      <c r="M26" s="21">
        <f t="shared" si="1"/>
        <v>0.26847144254872013</v>
      </c>
      <c r="N26" s="21">
        <f t="shared" si="2"/>
        <v>0.7315285574512799</v>
      </c>
      <c r="O26">
        <f t="shared" si="3"/>
        <v>12233251853903.74</v>
      </c>
      <c r="P26">
        <f t="shared" si="4"/>
        <v>33333053961597.457</v>
      </c>
      <c r="Q26">
        <f t="shared" si="5"/>
        <v>535.9011890932067</v>
      </c>
      <c r="R26" s="15" t="str">
        <f t="shared" si="6"/>
        <v>Romania</v>
      </c>
    </row>
    <row r="27" spans="1:18" ht="12.75">
      <c r="A27" s="6" t="s">
        <v>10</v>
      </c>
      <c r="B27">
        <f>VLOOKUP(A27,'1A1a dataviewer'!$A$5:$D$37,4,FALSE)</f>
        <v>32454.68558</v>
      </c>
      <c r="C27">
        <f>(VLOOKUP(A27,Heat!$A$122:$F$163,6,FALSE))/gwh_conv</f>
        <v>13901.666666666666</v>
      </c>
      <c r="D27">
        <f>(VLOOKUP(A27,Heat!$A$67:$F$108,6,FALSE))/gwh_conv</f>
        <v>2630.277777777778</v>
      </c>
      <c r="E27" s="18">
        <f>(VLOOKUP(A27,'All products'!$A$177:$F$218,6,FALSE))/(VLOOKUP(A27,'All products'!$A$67:$F$108,6,FALSE))</f>
        <v>0.4525605232204945</v>
      </c>
      <c r="F27" s="18">
        <f>IF(VLOOKUP(A27,'All products'!$A$12:$F$53,6,FALSE)&gt;0,IF(((VLOOKUP(A27,'All products'!$A$122:$F$163,6,FALSE))/(VLOOKUP(A27,'All products'!$A$12:$F$53,6,FALSE)))&lt;1,((VLOOKUP(A27,'All products'!$A$122:$F$163,6,FALSE))/(VLOOKUP(A27,'All products'!$A$12:$F$53,6,FALSE))),1),0)</f>
        <v>0.92470703125</v>
      </c>
      <c r="G27" s="20">
        <f>((VLOOKUP(A27,Heat!$A$287:$F$328,6,FALSE))-(VLOOKUP(A27,Heat!$A$12:Heat!$F$53,6,FALSE))-(VLOOKUP(A27,Heat!$A$67:$F$108,6,FALSE)))/gwh_conv</f>
        <v>251.66666666666666</v>
      </c>
      <c r="H27">
        <f>(VLOOKUP(A27,Electricity!$A$177:$F$218,6,FALSE))+(((VLOOKUP(A27,Heat!$A$287:$F$328,6,FALSE))/gwh_conv))</f>
        <v>61877.555555555555</v>
      </c>
      <c r="I27">
        <f>((VLOOKUP(A27,Electricity!$A$122:$F$163,6,FALSE))+(VLOOKUP(A27,Heat!$A$177:$F$218,6,FALSE)))/gwh_conv</f>
        <v>928.0555555555555</v>
      </c>
      <c r="J27">
        <f>(VLOOKUP(A27,Electricity!$A$177:$F$218,6,FALSE))</f>
        <v>45037</v>
      </c>
      <c r="K27">
        <f>((VLOOKUP(A27,Electricity!$A$122:$F$163,6,FALSE)))/gwh_conv</f>
        <v>871.1111111111111</v>
      </c>
      <c r="L27">
        <f t="shared" si="0"/>
        <v>15440.616599382738</v>
      </c>
      <c r="M27" s="21">
        <f t="shared" si="1"/>
        <v>0.2533345901013583</v>
      </c>
      <c r="N27" s="21">
        <f t="shared" si="2"/>
        <v>0.7466654098986417</v>
      </c>
      <c r="O27">
        <f t="shared" si="3"/>
        <v>8221894468277.764</v>
      </c>
      <c r="P27">
        <f t="shared" si="4"/>
        <v>24232791111722.24</v>
      </c>
      <c r="Q27">
        <f t="shared" si="5"/>
        <v>548.6766307972722</v>
      </c>
      <c r="R27" s="15" t="str">
        <f t="shared" si="6"/>
        <v>Bulgaria</v>
      </c>
    </row>
    <row r="28" spans="1:18" ht="12.75">
      <c r="A28" s="6" t="s">
        <v>12</v>
      </c>
      <c r="B28">
        <f>VLOOKUP(A28,'1A1a dataviewer'!$A$5:$D$37,4,FALSE)</f>
        <v>3967.292139</v>
      </c>
      <c r="C28">
        <f>(VLOOKUP(A28,Heat!$A$122:$F$163,6,FALSE))/gwh_conv</f>
        <v>0</v>
      </c>
      <c r="D28">
        <f>(VLOOKUP(A28,Heat!$A$67:$F$108,6,FALSE))/gwh_conv</f>
        <v>0</v>
      </c>
      <c r="E28" s="18">
        <f>(VLOOKUP(A28,'All products'!$A$177:$F$218,6,FALSE))/(VLOOKUP(A28,'All products'!$A$67:$F$108,6,FALSE))</f>
        <v>0.3621632488942501</v>
      </c>
      <c r="F28" s="18">
        <f>IF(VLOOKUP(A28,'All products'!$A$12:$F$53,6,FALSE)&gt;0,IF(((VLOOKUP(A28,'All products'!$A$122:$F$163,6,FALSE))/(VLOOKUP(A28,'All products'!$A$12:$F$53,6,FALSE)))&lt;1,((VLOOKUP(A28,'All products'!$A$122:$F$163,6,FALSE))/(VLOOKUP(A28,'All products'!$A$12:$F$53,6,FALSE))),1),0)</f>
        <v>0</v>
      </c>
      <c r="G28" s="20">
        <f>((VLOOKUP(A28,Heat!$A$287:$F$328,6,FALSE))-(VLOOKUP(A28,Heat!$A$12:Heat!$F$53,6,FALSE))-(VLOOKUP(A28,Heat!$A$67:$F$108,6,FALSE)))/gwh_conv</f>
        <v>0</v>
      </c>
      <c r="H28">
        <f>(VLOOKUP(A28,Electricity!$A$177:$F$218,6,FALSE))+(((VLOOKUP(A28,Heat!$A$287:$F$328,6,FALSE))/gwh_conv))</f>
        <v>5079</v>
      </c>
      <c r="I28">
        <f>((VLOOKUP(A28,Electricity!$A$122:$F$163,6,FALSE))+(VLOOKUP(A28,Heat!$A$177:$F$218,6,FALSE)))/gwh_conv</f>
        <v>71.94444444444444</v>
      </c>
      <c r="J28">
        <f>(VLOOKUP(A28,Electricity!$A$177:$F$218,6,FALSE))</f>
        <v>5079</v>
      </c>
      <c r="K28">
        <f>((VLOOKUP(A28,Electricity!$A$122:$F$163,6,FALSE)))/gwh_conv</f>
        <v>71.94444444444444</v>
      </c>
      <c r="L28">
        <f t="shared" si="0"/>
        <v>0</v>
      </c>
      <c r="M28" s="21">
        <f t="shared" si="1"/>
        <v>0</v>
      </c>
      <c r="N28" s="21">
        <f t="shared" si="2"/>
        <v>1</v>
      </c>
      <c r="O28">
        <f t="shared" si="3"/>
        <v>0</v>
      </c>
      <c r="P28">
        <f t="shared" si="4"/>
        <v>3967292139000</v>
      </c>
      <c r="Q28">
        <f t="shared" si="5"/>
        <v>792.3403475318163</v>
      </c>
      <c r="R28" s="15" t="str">
        <f t="shared" si="6"/>
        <v>Cyprus</v>
      </c>
    </row>
    <row r="29" spans="1:18" ht="12.75">
      <c r="A29" s="6" t="s">
        <v>38</v>
      </c>
      <c r="B29">
        <f>VLOOKUP(A29,'1A1a dataviewer'!$A$5:$D$37,4,FALSE)</f>
        <v>163852.814958183</v>
      </c>
      <c r="C29">
        <f>(VLOOKUP(A29,Heat!$A$122:$F$163,6,FALSE))/gwh_conv</f>
        <v>52165.277777777774</v>
      </c>
      <c r="D29">
        <f>(VLOOKUP(A29,Heat!$A$67:$F$108,6,FALSE))/gwh_conv</f>
        <v>31083.055555555555</v>
      </c>
      <c r="E29" s="18">
        <f>(VLOOKUP(A29,'All products'!$A$177:$F$218,6,FALSE))/(VLOOKUP(A29,'All products'!$A$67:$F$108,6,FALSE))</f>
        <v>0.46451180462143643</v>
      </c>
      <c r="F29" s="18">
        <f>IF(VLOOKUP(A29,'All products'!$A$12:$F$53,6,FALSE)&gt;0,IF(((VLOOKUP(A29,'All products'!$A$122:$F$163,6,FALSE))/(VLOOKUP(A29,'All products'!$A$12:$F$53,6,FALSE)))&lt;1,((VLOOKUP(A29,'All products'!$A$122:$F$163,6,FALSE))/(VLOOKUP(A29,'All products'!$A$12:$F$53,6,FALSE))),1),0)</f>
        <v>0.8502382055938423</v>
      </c>
      <c r="G29" s="20">
        <f>((VLOOKUP(A29,Heat!$A$287:$F$328,6,FALSE))-(VLOOKUP(A29,Heat!$A$12:Heat!$F$53,6,FALSE))-(VLOOKUP(A29,Heat!$A$67:$F$108,6,FALSE)))/gwh_conv</f>
        <v>0</v>
      </c>
      <c r="H29">
        <f>(VLOOKUP(A29,Electricity!$A$177:$F$218,6,FALSE))+(((VLOOKUP(A29,Heat!$A$287:$F$328,6,FALSE))/gwh_conv))</f>
        <v>243024.22222222222</v>
      </c>
      <c r="I29">
        <f>((VLOOKUP(A29,Electricity!$A$122:$F$163,6,FALSE))+(VLOOKUP(A29,Heat!$A$177:$F$218,6,FALSE)))/gwh_conv</f>
        <v>10465</v>
      </c>
      <c r="J29">
        <f>(VLOOKUP(A29,Electricity!$A$177:$F$218,6,FALSE))</f>
        <v>156177</v>
      </c>
      <c r="K29">
        <f>((VLOOKUP(A29,Electricity!$A$122:$F$163,6,FALSE)))/gwh_conv</f>
        <v>6866.111111111111</v>
      </c>
      <c r="L29">
        <f t="shared" si="0"/>
        <v>69146.92613733961</v>
      </c>
      <c r="M29" s="21">
        <f t="shared" si="1"/>
        <v>0.2973303981523734</v>
      </c>
      <c r="N29" s="21">
        <f t="shared" si="2"/>
        <v>0.7026696018476266</v>
      </c>
      <c r="O29">
        <f t="shared" si="3"/>
        <v>48718422709903.72</v>
      </c>
      <c r="P29">
        <f t="shared" si="4"/>
        <v>115134392248279.3</v>
      </c>
      <c r="Q29">
        <f t="shared" si="5"/>
        <v>771.1051290703764</v>
      </c>
      <c r="R29" s="15" t="str">
        <f t="shared" si="6"/>
        <v>Poland</v>
      </c>
    </row>
    <row r="30" spans="1:18" ht="12.75">
      <c r="A30" s="6" t="s">
        <v>26</v>
      </c>
      <c r="B30">
        <f>VLOOKUP(A30,'1A1a dataviewer'!$A$5:$D$37,4,FALSE)</f>
        <v>53273.2846440336</v>
      </c>
      <c r="C30">
        <f>(VLOOKUP(A30,Heat!$A$122:$F$163,6,FALSE))/gwh_conv</f>
        <v>510.27777777777777</v>
      </c>
      <c r="D30">
        <f>(VLOOKUP(A30,Heat!$A$67:$F$108,6,FALSE))/gwh_conv</f>
        <v>0</v>
      </c>
      <c r="E30" s="18">
        <f>(VLOOKUP(A30,'All products'!$A$177:$F$218,6,FALSE))/(VLOOKUP(A30,'All products'!$A$67:$F$108,6,FALSE))</f>
        <v>0.3829599128696035</v>
      </c>
      <c r="F30" s="18">
        <f>IF(VLOOKUP(A30,'All products'!$A$12:$F$53,6,FALSE)&gt;0,IF(((VLOOKUP(A30,'All products'!$A$122:$F$163,6,FALSE))/(VLOOKUP(A30,'All products'!$A$12:$F$53,6,FALSE)))&lt;1,((VLOOKUP(A30,'All products'!$A$122:$F$163,6,FALSE))/(VLOOKUP(A30,'All products'!$A$12:$F$53,6,FALSE))),1),0)</f>
        <v>0</v>
      </c>
      <c r="G30" s="20">
        <f>((VLOOKUP(A30,Heat!$A$287:$F$328,6,FALSE))-(VLOOKUP(A30,Heat!$A$12:Heat!$F$53,6,FALSE))-(VLOOKUP(A30,Heat!$A$67:$F$108,6,FALSE)))/gwh_conv</f>
        <v>0</v>
      </c>
      <c r="H30">
        <f>(VLOOKUP(A30,Electricity!$A$177:$F$218,6,FALSE))+(((VLOOKUP(A30,Heat!$A$287:$F$328,6,FALSE))/gwh_conv))</f>
        <v>64259.27777777778</v>
      </c>
      <c r="I30">
        <f>((VLOOKUP(A30,Electricity!$A$122:$F$163,6,FALSE))+(VLOOKUP(A30,Heat!$A$177:$F$218,6,FALSE)))/gwh_conv</f>
        <v>1311.111111111111</v>
      </c>
      <c r="J30">
        <f>(VLOOKUP(A30,Electricity!$A$177:$F$218,6,FALSE))</f>
        <v>63749</v>
      </c>
      <c r="K30">
        <f>((VLOOKUP(A30,Electricity!$A$122:$F$163,6,FALSE)))/gwh_conv</f>
        <v>1311.111111111111</v>
      </c>
      <c r="L30">
        <f t="shared" si="0"/>
        <v>510.27777777777777</v>
      </c>
      <c r="M30" s="21">
        <f t="shared" si="1"/>
        <v>0.00810631674914193</v>
      </c>
      <c r="N30" s="21">
        <f t="shared" si="2"/>
        <v>0.991893683250858</v>
      </c>
      <c r="O30">
        <f t="shared" si="3"/>
        <v>431850119591.7351</v>
      </c>
      <c r="P30">
        <f t="shared" si="4"/>
        <v>52841434524441.87</v>
      </c>
      <c r="Q30">
        <f t="shared" si="5"/>
        <v>846.3039904900635</v>
      </c>
      <c r="R30" s="15" t="str">
        <f t="shared" si="6"/>
        <v>Greece</v>
      </c>
    </row>
    <row r="31" spans="1:18" ht="12.75">
      <c r="A31" s="6" t="s">
        <v>19</v>
      </c>
      <c r="B31">
        <f>VLOOKUP(A31,'1A1a dataviewer'!$A$5:$D$37,4,FALSE)</f>
        <v>12108.7023763884</v>
      </c>
      <c r="C31">
        <f>(VLOOKUP(A31,Heat!$A$122:$F$163,6,FALSE))/gwh_conv</f>
        <v>1961.6666666666665</v>
      </c>
      <c r="D31">
        <f>(VLOOKUP(A31,Heat!$A$67:$F$108,6,FALSE))/gwh_conv</f>
        <v>4975.833333333333</v>
      </c>
      <c r="E31" s="18">
        <f>(VLOOKUP(A31,'All products'!$A$177:$F$218,6,FALSE))/(VLOOKUP(A31,'All products'!$A$67:$F$108,6,FALSE))</f>
        <v>0.39932197260769337</v>
      </c>
      <c r="F31" s="18">
        <f>IF(VLOOKUP(A31,'All products'!$A$12:$F$53,6,FALSE)&gt;0,IF(((VLOOKUP(A31,'All products'!$A$122:$F$163,6,FALSE))/(VLOOKUP(A31,'All products'!$A$12:$F$53,6,FALSE)))&lt;1,((VLOOKUP(A31,'All products'!$A$122:$F$163,6,FALSE))/(VLOOKUP(A31,'All products'!$A$12:$F$53,6,FALSE))),1),0)</f>
        <v>0.8585190510424155</v>
      </c>
      <c r="G31" s="20">
        <f>((VLOOKUP(A31,Heat!$A$287:$F$328,6,FALSE))-(VLOOKUP(A31,Heat!$A$12:Heat!$F$53,6,FALSE))-(VLOOKUP(A31,Heat!$A$67:$F$108,6,FALSE)))/gwh_conv</f>
        <v>0</v>
      </c>
      <c r="H31">
        <f>(VLOOKUP(A31,Electricity!$A$177:$F$218,6,FALSE))+(((VLOOKUP(A31,Heat!$A$287:$F$328,6,FALSE))/gwh_conv))</f>
        <v>17566</v>
      </c>
      <c r="I31">
        <f>((VLOOKUP(A31,Electricity!$A$122:$F$163,6,FALSE))+(VLOOKUP(A31,Heat!$A$177:$F$218,6,FALSE)))/gwh_conv</f>
        <v>159.44444444444443</v>
      </c>
      <c r="J31">
        <f>(VLOOKUP(A31,Electricity!$A$177:$F$218,6,FALSE))</f>
        <v>10581</v>
      </c>
      <c r="K31">
        <f>((VLOOKUP(A31,Electricity!$A$122:$F$163,6,FALSE)))/gwh_conv</f>
        <v>111.94444444444444</v>
      </c>
      <c r="L31">
        <f t="shared" si="0"/>
        <v>4276.070266238756</v>
      </c>
      <c r="M31" s="21">
        <f t="shared" si="1"/>
        <v>0.2456586113542714</v>
      </c>
      <c r="N31" s="21">
        <f t="shared" si="2"/>
        <v>0.7543413886457286</v>
      </c>
      <c r="O31">
        <f t="shared" si="3"/>
        <v>2974607011085.74</v>
      </c>
      <c r="P31">
        <f t="shared" si="4"/>
        <v>9134095365302.66</v>
      </c>
      <c r="Q31">
        <f t="shared" si="5"/>
        <v>872.485136489272</v>
      </c>
      <c r="R31" s="15" t="str">
        <f t="shared" si="6"/>
        <v>Estonia</v>
      </c>
    </row>
    <row r="32" spans="1:18" ht="12.75">
      <c r="A32" s="6" t="s">
        <v>34</v>
      </c>
      <c r="B32">
        <f>VLOOKUP(A32,'1A1a dataviewer'!$A$5:$D$37,4,FALSE)</f>
        <v>1976.33754678935</v>
      </c>
      <c r="C32">
        <f>(VLOOKUP(A32,Heat!$A$122:$F$163,6,FALSE))/gwh_conv</f>
        <v>0</v>
      </c>
      <c r="D32">
        <f>(VLOOKUP(A32,Heat!$A$67:$F$108,6,FALSE))/gwh_conv</f>
        <v>0</v>
      </c>
      <c r="E32" s="18">
        <f>(VLOOKUP(A32,'All products'!$A$177:$F$218,6,FALSE))/(VLOOKUP(A32,'All products'!$A$67:$F$108,6,FALSE))</f>
        <v>0.31815181518151814</v>
      </c>
      <c r="F32" s="18">
        <f>IF(VLOOKUP(A32,'All products'!$A$12:$F$53,6,FALSE)&gt;0,IF(((VLOOKUP(A32,'All products'!$A$122:$F$163,6,FALSE))/(VLOOKUP(A32,'All products'!$A$12:$F$53,6,FALSE)))&lt;1,((VLOOKUP(A32,'All products'!$A$122:$F$163,6,FALSE))/(VLOOKUP(A32,'All products'!$A$12:$F$53,6,FALSE))),1),0)</f>
        <v>0</v>
      </c>
      <c r="G32" s="20">
        <f>((VLOOKUP(A32,Heat!$A$287:$F$328,6,FALSE))-(VLOOKUP(A32,Heat!$A$12:Heat!$F$53,6,FALSE))-(VLOOKUP(A32,Heat!$A$67:$F$108,6,FALSE)))/gwh_conv</f>
        <v>0</v>
      </c>
      <c r="H32">
        <f>(VLOOKUP(A32,Electricity!$A$177:$F$218,6,FALSE))+(((VLOOKUP(A32,Heat!$A$287:$F$328,6,FALSE))/gwh_conv))</f>
        <v>2276</v>
      </c>
      <c r="I32">
        <f>((VLOOKUP(A32,Electricity!$A$122:$F$163,6,FALSE))+(VLOOKUP(A32,Heat!$A$177:$F$218,6,FALSE)))/gwh_conv</f>
        <v>0</v>
      </c>
      <c r="J32">
        <f>(VLOOKUP(A32,Electricity!$A$177:$F$218,6,FALSE))</f>
        <v>2276</v>
      </c>
      <c r="K32">
        <f>((VLOOKUP(A32,Electricity!$A$122:$F$163,6,FALSE)))/gwh_conv</f>
        <v>0</v>
      </c>
      <c r="L32">
        <f t="shared" si="0"/>
        <v>0</v>
      </c>
      <c r="M32" s="21">
        <f t="shared" si="1"/>
        <v>0</v>
      </c>
      <c r="N32" s="21">
        <f t="shared" si="2"/>
        <v>1</v>
      </c>
      <c r="O32">
        <f t="shared" si="3"/>
        <v>0</v>
      </c>
      <c r="P32">
        <f t="shared" si="4"/>
        <v>1976337546789.3499</v>
      </c>
      <c r="Q32">
        <f t="shared" si="5"/>
        <v>868.3381137035808</v>
      </c>
      <c r="R32" s="15" t="str">
        <f t="shared" si="6"/>
        <v>Malta</v>
      </c>
    </row>
    <row r="33" spans="1:18" ht="12.75">
      <c r="A33" s="22" t="s">
        <v>23</v>
      </c>
      <c r="B33">
        <f>VLOOKUP(A33,'1A1a dataviewer'!$A$5:$D$37,4,FALSE)</f>
        <v>1314417.56561703</v>
      </c>
      <c r="C33">
        <f>(VLOOKUP(A33,Heat!$A$122:$F$163,6,FALSE))/gwh_conv</f>
        <v>391116.6666666667</v>
      </c>
      <c r="D33">
        <f>(VLOOKUP(A33,Heat!$A$67:$F$108,6,FALSE))/gwh_conv</f>
        <v>168881.94444444444</v>
      </c>
      <c r="E33" s="18">
        <f>(VLOOKUP(A33,'All products'!$A$177:$F$218,6,FALSE))/(VLOOKUP(A33,'All products'!$A$67:$F$108,6,FALSE))</f>
        <v>0.48228522596080553</v>
      </c>
      <c r="F33" s="18">
        <f>IF(VLOOKUP(A33,'All products'!$A$12:$F$53,6,FALSE)&gt;0,IF(((VLOOKUP(A33,'All products'!$A$122:$F$163,6,FALSE))/(VLOOKUP(A33,'All products'!$A$12:$F$53,6,FALSE)))&lt;1,((VLOOKUP(A33,'All products'!$A$122:$F$163,6,FALSE))/(VLOOKUP(A33,'All products'!$A$12:$F$53,6,FALSE))),1),0)</f>
        <v>0.8340318179760453</v>
      </c>
      <c r="G33" s="20">
        <f>((VLOOKUP(A33,Heat!$A$287:$F$328,6,FALSE))-(VLOOKUP(A33,Heat!$A$12:Heat!$F$53,6,FALSE))-(VLOOKUP(A33,Heat!$A$67:$F$108,6,FALSE)))/gwh_conv</f>
        <v>1753.0555555555554</v>
      </c>
      <c r="H33">
        <f>(VLOOKUP(A33,Electricity!$A$177:$F$218,6,FALSE))+(((VLOOKUP(A33,Heat!$A$287:$F$328,6,FALSE))/gwh_conv))</f>
        <v>4005446.1666666665</v>
      </c>
      <c r="I33">
        <f>((VLOOKUP(A33,Electricity!$A$122:$F$163,6,FALSE))+(VLOOKUP(A33,Heat!$A$177:$F$218,6,FALSE)))/gwh_conv</f>
        <v>317027.5</v>
      </c>
      <c r="J33">
        <f>(VLOOKUP(A33,Electricity!$A$177:$F$218,6,FALSE))</f>
        <v>3374182</v>
      </c>
      <c r="K33">
        <f>((VLOOKUP(A33,Electricity!$A$122:$F$163,6,FALSE)))/gwh_conv</f>
        <v>247515</v>
      </c>
      <c r="L33">
        <f t="shared" si="0"/>
        <v>490526.9877864341</v>
      </c>
      <c r="M33" s="21">
        <f>L33/(H33-I33)</f>
        <v>0.13299113580013897</v>
      </c>
      <c r="N33" s="21">
        <f t="shared" si="2"/>
        <v>0.867008864199861</v>
      </c>
      <c r="O33">
        <f t="shared" si="3"/>
        <v>174805884967062.5</v>
      </c>
      <c r="P33">
        <f t="shared" si="4"/>
        <v>1139611680649967.5</v>
      </c>
      <c r="Q33">
        <f t="shared" si="5"/>
        <v>364.4813088985708</v>
      </c>
      <c r="R33" s="15" t="str">
        <f t="shared" si="6"/>
        <v>European Union </v>
      </c>
    </row>
    <row r="34" spans="5:6" ht="12.75">
      <c r="E34" s="18"/>
      <c r="F34" s="17"/>
    </row>
    <row r="35" spans="1:6" ht="12.75">
      <c r="A35" s="36">
        <v>3.6</v>
      </c>
      <c r="E35" s="18"/>
      <c r="F35" s="17" t="s">
        <v>108</v>
      </c>
    </row>
    <row r="36" spans="5:6" ht="12.75">
      <c r="E36" s="18"/>
      <c r="F36" s="17" t="s">
        <v>109</v>
      </c>
    </row>
    <row r="37" spans="5:6" ht="12.75">
      <c r="E37" s="18"/>
      <c r="F37" s="17"/>
    </row>
    <row r="38" spans="1:6" ht="12.75">
      <c r="A38" s="15" t="s">
        <v>74</v>
      </c>
      <c r="E38" s="18"/>
      <c r="F38" s="17"/>
    </row>
    <row r="39" spans="1:12" ht="14.25">
      <c r="A39" s="7"/>
      <c r="B39" s="7"/>
      <c r="C39" s="16"/>
      <c r="D39" s="16"/>
      <c r="E39" s="7"/>
      <c r="F39" s="7"/>
      <c r="G39" s="7"/>
      <c r="H39" s="7"/>
      <c r="I39" s="7"/>
      <c r="J39" s="7"/>
      <c r="K39" s="7"/>
      <c r="L39" s="7" t="s">
        <v>46</v>
      </c>
    </row>
    <row r="40" spans="1:12" ht="14.25">
      <c r="A40" s="7" t="s">
        <v>47</v>
      </c>
      <c r="B40" s="12" t="s">
        <v>75</v>
      </c>
      <c r="C40" s="16"/>
      <c r="D40" s="16"/>
      <c r="E40" s="7"/>
      <c r="F40" s="7"/>
      <c r="G40" s="7"/>
      <c r="H40" s="7"/>
      <c r="I40" s="7"/>
      <c r="J40" s="7"/>
      <c r="K40" s="7"/>
      <c r="L40" s="7" t="s">
        <v>48</v>
      </c>
    </row>
    <row r="41" spans="1:12" ht="14.25">
      <c r="A41" s="7" t="s">
        <v>49</v>
      </c>
      <c r="B41" s="8" t="s">
        <v>176</v>
      </c>
      <c r="C41" s="16"/>
      <c r="D41" s="16"/>
      <c r="E41" s="7"/>
      <c r="F41" s="7"/>
      <c r="G41" s="7"/>
      <c r="H41" s="7"/>
      <c r="I41" s="7"/>
      <c r="J41" s="7"/>
      <c r="K41" s="7"/>
      <c r="L41" s="7" t="s">
        <v>50</v>
      </c>
    </row>
    <row r="42" spans="1:12" ht="14.25">
      <c r="A42" s="7" t="s">
        <v>51</v>
      </c>
      <c r="B42" s="8" t="s">
        <v>177</v>
      </c>
      <c r="C42" s="16"/>
      <c r="D42" s="16"/>
      <c r="E42" s="7"/>
      <c r="F42" s="7"/>
      <c r="G42" s="7"/>
      <c r="H42" s="7"/>
      <c r="I42" s="7"/>
      <c r="J42" s="7"/>
      <c r="K42" s="7"/>
      <c r="L42" s="7" t="s">
        <v>52</v>
      </c>
    </row>
    <row r="43" spans="1:12" ht="14.25">
      <c r="A43" s="7" t="s">
        <v>53</v>
      </c>
      <c r="B43" s="9" t="s">
        <v>76</v>
      </c>
      <c r="C43" s="16"/>
      <c r="D43" s="16"/>
      <c r="E43" s="10"/>
      <c r="F43" s="10"/>
      <c r="G43" s="10"/>
      <c r="H43" s="10"/>
      <c r="I43" s="10"/>
      <c r="J43" s="10"/>
      <c r="K43" s="10"/>
      <c r="L43" s="10" t="s">
        <v>54</v>
      </c>
    </row>
    <row r="44" spans="1:12" ht="14.25">
      <c r="A44" s="7" t="s">
        <v>55</v>
      </c>
      <c r="B44" s="9" t="s">
        <v>77</v>
      </c>
      <c r="C44" s="16"/>
      <c r="D44" s="16"/>
      <c r="E44" s="10"/>
      <c r="F44" s="10"/>
      <c r="G44" s="10"/>
      <c r="H44" s="10"/>
      <c r="I44" s="10"/>
      <c r="J44" s="10"/>
      <c r="K44" s="10"/>
      <c r="L44" s="10" t="s">
        <v>56</v>
      </c>
    </row>
    <row r="45" spans="1:12" ht="14.25">
      <c r="A45" s="7" t="s">
        <v>57</v>
      </c>
      <c r="B45" s="8" t="s">
        <v>178</v>
      </c>
      <c r="C45" s="16"/>
      <c r="D45" s="16"/>
      <c r="E45" s="7"/>
      <c r="F45" s="7"/>
      <c r="G45" s="7"/>
      <c r="H45" s="7"/>
      <c r="I45" s="7"/>
      <c r="J45" s="7"/>
      <c r="K45" s="7"/>
      <c r="L45" s="7" t="s">
        <v>58</v>
      </c>
    </row>
    <row r="46" spans="1:12" ht="14.25">
      <c r="A46" s="7" t="s">
        <v>59</v>
      </c>
      <c r="B46" s="8" t="s">
        <v>179</v>
      </c>
      <c r="C46" s="16"/>
      <c r="D46" s="16"/>
      <c r="E46" s="7"/>
      <c r="F46" s="7"/>
      <c r="G46" s="7"/>
      <c r="H46" s="7"/>
      <c r="I46" s="7"/>
      <c r="J46" s="7"/>
      <c r="K46" s="7"/>
      <c r="L46" s="7" t="s">
        <v>60</v>
      </c>
    </row>
    <row r="47" spans="1:12" ht="14.25">
      <c r="A47" s="7" t="s">
        <v>61</v>
      </c>
      <c r="B47" s="8" t="s">
        <v>180</v>
      </c>
      <c r="C47" s="16"/>
      <c r="D47" s="16"/>
      <c r="E47" s="7"/>
      <c r="F47" s="7"/>
      <c r="G47" s="7"/>
      <c r="H47" s="7"/>
      <c r="I47" s="7"/>
      <c r="J47" s="7"/>
      <c r="K47" s="7"/>
      <c r="L47" s="7" t="s">
        <v>62</v>
      </c>
    </row>
    <row r="48" spans="1:12" ht="14.25">
      <c r="A48" s="7" t="s">
        <v>63</v>
      </c>
      <c r="B48" s="8" t="s">
        <v>78</v>
      </c>
      <c r="C48" s="16"/>
      <c r="D48" s="16"/>
      <c r="E48" s="7"/>
      <c r="F48" s="7"/>
      <c r="G48" s="7"/>
      <c r="H48" s="7"/>
      <c r="I48" s="7"/>
      <c r="J48" s="7"/>
      <c r="K48" s="7"/>
      <c r="L48" s="7" t="s">
        <v>64</v>
      </c>
    </row>
    <row r="49" spans="1:12" ht="14.25">
      <c r="A49" s="7" t="s">
        <v>65</v>
      </c>
      <c r="B49" s="8" t="s">
        <v>79</v>
      </c>
      <c r="C49" s="16"/>
      <c r="D49" s="16"/>
      <c r="E49" s="7"/>
      <c r="F49" s="7"/>
      <c r="G49" s="7"/>
      <c r="H49" s="7"/>
      <c r="I49" s="7"/>
      <c r="J49" s="7"/>
      <c r="K49" s="7"/>
      <c r="L49" s="7" t="s">
        <v>66</v>
      </c>
    </row>
    <row r="50" spans="1:12" ht="14.25">
      <c r="A50" s="7"/>
      <c r="B50" s="7"/>
      <c r="C50" s="16"/>
      <c r="D50" s="16"/>
      <c r="E50" s="7"/>
      <c r="F50" s="7"/>
      <c r="G50" s="7"/>
      <c r="H50" s="7"/>
      <c r="I50" s="7"/>
      <c r="J50" s="7"/>
      <c r="K50" s="7"/>
      <c r="L50" s="7"/>
    </row>
    <row r="51" spans="1:12" ht="14.25">
      <c r="A51" s="7" t="s">
        <v>67</v>
      </c>
      <c r="B51" s="8" t="s">
        <v>80</v>
      </c>
      <c r="C51" s="16"/>
      <c r="D51" s="16"/>
      <c r="E51" s="7"/>
      <c r="F51" s="7"/>
      <c r="G51" s="7"/>
      <c r="H51" s="7"/>
      <c r="I51" s="7"/>
      <c r="J51" s="7"/>
      <c r="K51" s="7"/>
      <c r="L51" s="7"/>
    </row>
    <row r="52" spans="1:12" ht="14.25">
      <c r="A52" s="7" t="s">
        <v>68</v>
      </c>
      <c r="B52" s="11" t="s">
        <v>81</v>
      </c>
      <c r="C52" s="16"/>
      <c r="D52" s="16"/>
      <c r="E52" s="7"/>
      <c r="F52" s="7"/>
      <c r="G52" s="7"/>
      <c r="H52" s="7"/>
      <c r="I52" s="7"/>
      <c r="J52" s="7"/>
      <c r="K52" s="7"/>
      <c r="L52" s="7"/>
    </row>
    <row r="53" spans="1:12" ht="14.25">
      <c r="A53" s="7" t="s">
        <v>69</v>
      </c>
      <c r="B53" s="11" t="s">
        <v>82</v>
      </c>
      <c r="C53" s="16"/>
      <c r="D53" s="16"/>
      <c r="E53" s="7"/>
      <c r="F53" s="7"/>
      <c r="G53" s="7"/>
      <c r="H53" s="7"/>
      <c r="I53" s="7"/>
      <c r="J53" s="7"/>
      <c r="K53" s="7"/>
      <c r="L53" s="7"/>
    </row>
    <row r="54" spans="1:12" ht="14.25">
      <c r="A54" s="7"/>
      <c r="B54" s="7"/>
      <c r="C54" s="16"/>
      <c r="D54" s="16"/>
      <c r="E54" s="7"/>
      <c r="F54" s="7"/>
      <c r="G54" s="7"/>
      <c r="H54" s="7"/>
      <c r="I54" s="7"/>
      <c r="J54" s="7"/>
      <c r="K54" s="7"/>
      <c r="L54" s="7"/>
    </row>
    <row r="55" spans="1:12" ht="14.25">
      <c r="A55" s="7" t="s">
        <v>70</v>
      </c>
      <c r="B55" s="7" t="s">
        <v>83</v>
      </c>
      <c r="C55" s="16"/>
      <c r="D55" s="16"/>
      <c r="E55" s="7"/>
      <c r="F55" s="7"/>
      <c r="G55" s="7"/>
      <c r="H55" s="7"/>
      <c r="I55" s="7"/>
      <c r="J55" s="7"/>
      <c r="K55" s="7"/>
      <c r="L55" s="7"/>
    </row>
    <row r="56" spans="1:12" ht="14.25">
      <c r="A56" s="7" t="s">
        <v>71</v>
      </c>
      <c r="B56" s="7" t="s">
        <v>84</v>
      </c>
      <c r="C56" s="16"/>
      <c r="D56" s="16"/>
      <c r="E56" s="7"/>
      <c r="F56" s="7"/>
      <c r="G56" s="7"/>
      <c r="H56" s="7"/>
      <c r="I56" s="7"/>
      <c r="J56" s="7"/>
      <c r="K56" s="7"/>
      <c r="L56" s="7"/>
    </row>
    <row r="57" spans="1:12" ht="14.25">
      <c r="A57" s="7"/>
      <c r="B57" s="7"/>
      <c r="C57" s="16"/>
      <c r="D57" s="16"/>
      <c r="E57" s="7"/>
      <c r="F57" s="7"/>
      <c r="G57" s="7"/>
      <c r="H57" s="7"/>
      <c r="I57" s="7"/>
      <c r="J57" s="7"/>
      <c r="K57" s="7"/>
      <c r="L57" s="7"/>
    </row>
    <row r="58" spans="1:12" ht="14.25">
      <c r="A58" s="7" t="s">
        <v>72</v>
      </c>
      <c r="B58" s="12" t="s">
        <v>181</v>
      </c>
      <c r="C58" s="16"/>
      <c r="D58" s="16"/>
      <c r="E58" s="7"/>
      <c r="F58" s="7"/>
      <c r="G58" s="7"/>
      <c r="H58" s="7"/>
      <c r="I58" s="7"/>
      <c r="J58" s="7"/>
      <c r="K58" s="7"/>
      <c r="L58" s="7"/>
    </row>
    <row r="59" spans="1:12" ht="14.25">
      <c r="A59" s="7"/>
      <c r="B59" s="7"/>
      <c r="C59" s="16"/>
      <c r="D59" s="16"/>
      <c r="E59" s="7"/>
      <c r="F59" s="7"/>
      <c r="G59" s="7"/>
      <c r="H59" s="7"/>
      <c r="I59" s="7"/>
      <c r="J59" s="7"/>
      <c r="K59" s="7"/>
      <c r="L59" s="7"/>
    </row>
    <row r="60" spans="1:12" ht="14.25">
      <c r="A60" s="13" t="s">
        <v>73</v>
      </c>
      <c r="B60" s="13"/>
      <c r="C60" s="16"/>
      <c r="D60" s="16"/>
      <c r="E60" s="7"/>
      <c r="F60" s="7"/>
      <c r="G60" s="7"/>
      <c r="H60" s="7"/>
      <c r="I60" s="7"/>
      <c r="J60" s="7"/>
      <c r="K60" s="7"/>
      <c r="L60" s="7"/>
    </row>
    <row r="61" spans="1:12" ht="14.25">
      <c r="A61" s="13" t="s">
        <v>72</v>
      </c>
      <c r="B61" s="14">
        <v>392.2521433108338</v>
      </c>
      <c r="C61" s="16"/>
      <c r="D61" s="16"/>
      <c r="E61" s="10"/>
      <c r="F61" s="10"/>
      <c r="G61" s="10"/>
      <c r="H61" s="10"/>
      <c r="I61" s="10"/>
      <c r="J61" s="10"/>
      <c r="K61" s="10"/>
      <c r="L61" s="7"/>
    </row>
    <row r="62" spans="1:12" ht="14.25">
      <c r="A62" s="13" t="s">
        <v>138</v>
      </c>
      <c r="B62" s="7"/>
      <c r="C62" s="16"/>
      <c r="D62" s="16"/>
      <c r="E62" s="10"/>
      <c r="F62" s="10"/>
      <c r="G62" s="10"/>
      <c r="H62" s="10"/>
      <c r="I62" s="10"/>
      <c r="J62" s="10"/>
      <c r="K62" s="10"/>
      <c r="L62" s="7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2"/>
  <sheetViews>
    <sheetView zoomScale="80" zoomScaleNormal="80" zoomScalePageLayoutView="0" workbookViewId="0" topLeftCell="A1">
      <selection activeCell="B33" sqref="B33"/>
    </sheetView>
  </sheetViews>
  <sheetFormatPr defaultColWidth="16.28125" defaultRowHeight="12.75"/>
  <cols>
    <col min="1" max="1" width="36.421875" style="0" customWidth="1"/>
    <col min="2" max="2" width="19.00390625" style="0" customWidth="1"/>
  </cols>
  <sheetData>
    <row r="1" spans="2:17" ht="14.25">
      <c r="B1" s="7" t="s">
        <v>48</v>
      </c>
      <c r="C1" s="7" t="s">
        <v>50</v>
      </c>
      <c r="D1" s="7" t="s">
        <v>52</v>
      </c>
      <c r="E1" s="7" t="s">
        <v>54</v>
      </c>
      <c r="F1" s="7" t="s">
        <v>56</v>
      </c>
      <c r="G1" s="7" t="s">
        <v>58</v>
      </c>
      <c r="H1" s="7" t="s">
        <v>60</v>
      </c>
      <c r="I1" s="7" t="s">
        <v>62</v>
      </c>
      <c r="J1" s="7" t="s">
        <v>64</v>
      </c>
      <c r="K1" s="7" t="s">
        <v>66</v>
      </c>
      <c r="L1" s="7" t="s">
        <v>67</v>
      </c>
      <c r="M1" s="7" t="s">
        <v>68</v>
      </c>
      <c r="N1" s="7" t="s">
        <v>69</v>
      </c>
      <c r="O1" s="7" t="s">
        <v>70</v>
      </c>
      <c r="P1" s="7" t="s">
        <v>71</v>
      </c>
      <c r="Q1" s="7" t="s">
        <v>72</v>
      </c>
    </row>
    <row r="2" spans="1:18" ht="12.75">
      <c r="A2" s="6" t="s">
        <v>30</v>
      </c>
      <c r="B2">
        <f>VLOOKUP(A2,'1A1a dataviewer'!$A$5:$D$37,3,FALSE)</f>
        <v>9.51791412693</v>
      </c>
      <c r="C2">
        <f>(VLOOKUP(A2,Heat!$A$122:$F$163,5,FALSE))/gwh_conv</f>
        <v>0</v>
      </c>
      <c r="D2">
        <f>(VLOOKUP(A2,Heat!$A$67:$F$108,5,FALSE))/gwh_conv</f>
        <v>302.77777777777777</v>
      </c>
      <c r="E2" s="18">
        <f>(VLOOKUP(A2,'All products'!$A$177:$F$218,5,FALSE))/(VLOOKUP(A2,'All products'!$A$67:$F$108,5,FALSE))</f>
        <v>0.1028927132918345</v>
      </c>
      <c r="F2" s="18">
        <f>IF(VLOOKUP(A2,'All products'!$A$12:$F$53,5,FALSE)&gt;0,IF(((VLOOKUP(A2,'All products'!$A$122:$F$163,5,FALSE))/(VLOOKUP(A2,'All products'!$A$12:$F$53,5,FALSE)))&lt;1,((VLOOKUP(A2,'All products'!$A$122:$F$163,5,FALSE))/(VLOOKUP(A2,'All products'!$A$12:$F$53,5,FALSE))),1),0)</f>
        <v>1</v>
      </c>
      <c r="G2" s="20">
        <f>((VLOOKUP(A2,Heat!$A$287:$F$328,5,FALSE))-(VLOOKUP(A2,Heat!$A$12:Heat!$F$53,5,FALSE))-(VLOOKUP(A2,Heat!$A$67:$F$108,5,FALSE)))/gwh_conv</f>
        <v>0</v>
      </c>
      <c r="H2">
        <f>(VLOOKUP(A2,Electricity!$A$177:$F$218,5,FALSE))+(((VLOOKUP(A2,Heat!$A$287:$F$328,5,FALSE))/gwh_conv))</f>
        <v>9922.055555555555</v>
      </c>
      <c r="I2">
        <f>((VLOOKUP(A2,Electricity!$A$122:$F$163,5,FALSE))+(VLOOKUP(A2,Heat!$A$177:$F$218,5,FALSE)))/gwh_conv</f>
        <v>1.1111111111111112</v>
      </c>
      <c r="J2">
        <f>(VLOOKUP(A2,Electricity!$A$177:$F$218,5,FALSE))</f>
        <v>7684</v>
      </c>
      <c r="K2">
        <f>((VLOOKUP(A2,Electricity!$A$122:$F$163,5,FALSE)))/gwh_conv</f>
        <v>1.1111111111111112</v>
      </c>
      <c r="L2">
        <f aca="true" t="shared" si="0" ref="L2:L33">IF(F2&gt;0,C2+G2+(D2*(E2/F2)),C2+G2+(D2*E2))</f>
        <v>31.15362708002767</v>
      </c>
      <c r="M2" s="21">
        <f aca="true" t="shared" si="1" ref="M2:M32">L2/(H2-I2)</f>
        <v>0.003140187635812552</v>
      </c>
      <c r="N2" s="21">
        <f aca="true" t="shared" si="2" ref="N2:N33">1-M2</f>
        <v>0.9968598123641874</v>
      </c>
      <c r="O2">
        <f aca="true" t="shared" si="3" ref="O2:O33">M2*B2*10^9</f>
        <v>29888036.260111205</v>
      </c>
      <c r="P2">
        <f aca="true" t="shared" si="4" ref="P2:P33">N2*B2*10^9</f>
        <v>9488026090.66989</v>
      </c>
      <c r="Q2">
        <f aca="true" t="shared" si="5" ref="Q2:Q33">P2/((J2-K2)*10^6)</f>
        <v>1.234955526220302</v>
      </c>
      <c r="R2" s="15" t="str">
        <f>MID(A2,SEARCH(" ",A2)+1,IF(ISERROR(SEARCH("(*)",A2)),LEN(A2),SEARCH("(*)",A2)-(SEARCH(" ",A2)+1)))</f>
        <v>Iceland</v>
      </c>
    </row>
    <row r="3" spans="1:18" ht="12.75">
      <c r="A3" s="6" t="s">
        <v>37</v>
      </c>
      <c r="B3">
        <f>VLOOKUP(A3,'1A1a dataviewer'!$A$5:$D$37,3,FALSE)</f>
        <v>349.351567792</v>
      </c>
      <c r="C3">
        <f>(VLOOKUP(A3,Heat!$A$122:$F$163,5,FALSE))/gwh_conv</f>
        <v>1363.0555555555554</v>
      </c>
      <c r="D3">
        <f>(VLOOKUP(A3,Heat!$A$67:$F$108,5,FALSE))/gwh_conv</f>
        <v>2669.722222222222</v>
      </c>
      <c r="E3" s="18">
        <f>(VLOOKUP(A3,'All products'!$A$177:$F$218,5,FALSE))/(VLOOKUP(A3,'All products'!$A$67:$F$108,5,FALSE))</f>
        <v>0.9676060047405847</v>
      </c>
      <c r="F3" s="18">
        <f>IF(VLOOKUP(A3,'All products'!$A$12:$F$53,5,FALSE)&gt;0,IF(((VLOOKUP(A3,'All products'!$A$122:$F$163,5,FALSE))/(VLOOKUP(A3,'All products'!$A$12:$F$53,5,FALSE)))&lt;1,((VLOOKUP(A3,'All products'!$A$122:$F$163,5,FALSE))/(VLOOKUP(A3,'All products'!$A$12:$F$53,5,FALSE))),1),0)</f>
        <v>1</v>
      </c>
      <c r="G3" s="20">
        <f>((VLOOKUP(A3,Heat!$A$287:$F$328,5,FALSE))-(VLOOKUP(A3,Heat!$A$12:Heat!$F$53,5,FALSE))-(VLOOKUP(A3,Heat!$A$67:$F$108,5,FALSE)))/gwh_conv</f>
        <v>0</v>
      </c>
      <c r="H3">
        <f>(VLOOKUP(A3,Electricity!$A$177:$F$218,5,FALSE))+(((VLOOKUP(A3,Heat!$A$287:$F$328,5,FALSE))/gwh_conv))</f>
        <v>141224.77777777778</v>
      </c>
      <c r="I3">
        <f>((VLOOKUP(A3,Electricity!$A$122:$F$163,5,FALSE))+(VLOOKUP(A3,Heat!$A$177:$F$218,5,FALSE)))/gwh_conv</f>
        <v>886.1111111111111</v>
      </c>
      <c r="J3">
        <f>(VLOOKUP(A3,Electricity!$A$177:$F$218,5,FALSE))</f>
        <v>137192</v>
      </c>
      <c r="K3">
        <f>((VLOOKUP(A3,Electricity!$A$122:$F$163,5,FALSE)))/gwh_conv</f>
        <v>886.1111111111111</v>
      </c>
      <c r="L3">
        <f t="shared" si="0"/>
        <v>3946.294808767155</v>
      </c>
      <c r="M3" s="21">
        <f t="shared" si="1"/>
        <v>0.028119796934799306</v>
      </c>
      <c r="N3" s="21">
        <f t="shared" si="2"/>
        <v>0.9718802030652007</v>
      </c>
      <c r="O3">
        <f t="shared" si="3"/>
        <v>9823695145.164814</v>
      </c>
      <c r="P3">
        <f t="shared" si="4"/>
        <v>339527872646.83527</v>
      </c>
      <c r="Q3">
        <f t="shared" si="5"/>
        <v>2.4909259270786523</v>
      </c>
      <c r="R3" s="15" t="str">
        <f aca="true" t="shared" si="6" ref="R3:R33">MID(A3,SEARCH(" ",A3)+1,IF(ISERROR(SEARCH("(*)",A3)),LEN(A3),SEARCH("(*)",A3)-(SEARCH(" ",A3)+1)))</f>
        <v>Norway</v>
      </c>
    </row>
    <row r="4" spans="1:18" ht="12.75">
      <c r="A4" s="6" t="s">
        <v>32</v>
      </c>
      <c r="B4">
        <f>VLOOKUP(A4,'1A1a dataviewer'!$A$5:$D$37,3,FALSE)</f>
        <v>3997.22630918242</v>
      </c>
      <c r="C4">
        <f>(VLOOKUP(A4,Heat!$A$122:$F$163,5,FALSE))/gwh_conv</f>
        <v>5583.055555555556</v>
      </c>
      <c r="D4">
        <f>(VLOOKUP(A4,Heat!$A$67:$F$108,5,FALSE))/gwh_conv</f>
        <v>5965.555555555556</v>
      </c>
      <c r="E4" s="18">
        <f>(VLOOKUP(A4,'All products'!$A$177:$F$218,5,FALSE))/(VLOOKUP(A4,'All products'!$A$67:$F$108,5,FALSE))</f>
        <v>0.7048516867002714</v>
      </c>
      <c r="F4" s="18">
        <f>IF(VLOOKUP(A4,'All products'!$A$12:$F$53,5,FALSE)&gt;0,IF(((VLOOKUP(A4,'All products'!$A$122:$F$163,5,FALSE))/(VLOOKUP(A4,'All products'!$A$12:$F$53,5,FALSE)))&lt;1,((VLOOKUP(A4,'All products'!$A$122:$F$163,5,FALSE))/(VLOOKUP(A4,'All products'!$A$12:$F$53,5,FALSE))),1),0)</f>
        <v>1</v>
      </c>
      <c r="G4" s="20">
        <f>((VLOOKUP(A4,Heat!$A$287:$F$328,5,FALSE))-(VLOOKUP(A4,Heat!$A$12:Heat!$F$53,5,FALSE))-(VLOOKUP(A4,Heat!$A$67:$F$108,5,FALSE)))/gwh_conv</f>
        <v>535.2777777777777</v>
      </c>
      <c r="H4">
        <f>(VLOOKUP(A4,Electricity!$A$177:$F$218,5,FALSE))+(((VLOOKUP(A4,Heat!$A$287:$F$328,5,FALSE))/gwh_conv))</f>
        <v>27662</v>
      </c>
      <c r="I4">
        <f>((VLOOKUP(A4,Electricity!$A$122:$F$163,5,FALSE))+(VLOOKUP(A4,Heat!$A$177:$F$218,5,FALSE)))/gwh_conv</f>
        <v>2185</v>
      </c>
      <c r="J4">
        <f>(VLOOKUP(A4,Electricity!$A$177:$F$218,5,FALSE))</f>
        <v>14007</v>
      </c>
      <c r="K4">
        <f>((VLOOKUP(A4,Electricity!$A$122:$F$163,5,FALSE)))/gwh_conv</f>
        <v>613.8888888888889</v>
      </c>
      <c r="L4">
        <f t="shared" si="0"/>
        <v>10323.165228770842</v>
      </c>
      <c r="M4" s="21">
        <f t="shared" si="1"/>
        <v>0.405195479403809</v>
      </c>
      <c r="N4" s="21">
        <f t="shared" si="2"/>
        <v>0.5948045205961909</v>
      </c>
      <c r="O4">
        <f t="shared" si="3"/>
        <v>1619658030634.689</v>
      </c>
      <c r="P4">
        <f t="shared" si="4"/>
        <v>2377568278547.731</v>
      </c>
      <c r="Q4">
        <f t="shared" si="5"/>
        <v>177.5217317935388</v>
      </c>
      <c r="R4" s="15" t="str">
        <f t="shared" si="6"/>
        <v>Lithuania</v>
      </c>
    </row>
    <row r="5" spans="1:18" ht="12.75">
      <c r="A5" s="6" t="s">
        <v>11</v>
      </c>
      <c r="B5">
        <f>VLOOKUP(A5,'1A1a dataviewer'!$A$5:$D$37,3,FALSE)</f>
        <v>2149.10654206042</v>
      </c>
      <c r="C5">
        <f>(VLOOKUP(A5,Heat!$A$122:$F$163,5,FALSE))/gwh_conv</f>
        <v>2410</v>
      </c>
      <c r="D5">
        <f>(VLOOKUP(A5,Heat!$A$67:$F$108,5,FALSE))/gwh_conv</f>
        <v>830</v>
      </c>
      <c r="E5" s="18">
        <f>(VLOOKUP(A5,'All products'!$A$177:$F$218,5,FALSE))/(VLOOKUP(A5,'All products'!$A$67:$F$108,5,FALSE))</f>
        <v>0.4750672938361565</v>
      </c>
      <c r="F5" s="18">
        <f>IF(VLOOKUP(A5,'All products'!$A$12:$F$53,5,FALSE)&gt;0,IF(((VLOOKUP(A5,'All products'!$A$122:$F$163,5,FALSE))/(VLOOKUP(A5,'All products'!$A$12:$F$53,5,FALSE)))&lt;1,((VLOOKUP(A5,'All products'!$A$122:$F$163,5,FALSE))/(VLOOKUP(A5,'All products'!$A$12:$F$53,5,FALSE))),1),0)</f>
        <v>0.8204283360790774</v>
      </c>
      <c r="G5" s="20">
        <f>((VLOOKUP(A5,Heat!$A$287:$F$328,5,FALSE))-(VLOOKUP(A5,Heat!$A$12:Heat!$F$53,5,FALSE))-(VLOOKUP(A5,Heat!$A$67:$F$108,5,FALSE)))/gwh_conv</f>
        <v>0</v>
      </c>
      <c r="H5">
        <f>(VLOOKUP(A5,Electricity!$A$177:$F$218,5,FALSE))+(((VLOOKUP(A5,Heat!$A$287:$F$328,5,FALSE))/gwh_conv))</f>
        <v>15485</v>
      </c>
      <c r="I5">
        <f>((VLOOKUP(A5,Electricity!$A$122:$F$163,5,FALSE))+(VLOOKUP(A5,Heat!$A$177:$F$218,5,FALSE)))/gwh_conv</f>
        <v>513.0555555555555</v>
      </c>
      <c r="J5">
        <f>(VLOOKUP(A5,Electricity!$A$177:$F$218,5,FALSE))</f>
        <v>12245</v>
      </c>
      <c r="K5">
        <f>((VLOOKUP(A5,Electricity!$A$122:$F$163,5,FALSE)))/gwh_conv</f>
        <v>513.0555555555555</v>
      </c>
      <c r="L5">
        <f t="shared" si="0"/>
        <v>2890.6097455975782</v>
      </c>
      <c r="M5" s="21">
        <f t="shared" si="1"/>
        <v>0.19306842583631015</v>
      </c>
      <c r="N5" s="21">
        <f t="shared" si="2"/>
        <v>0.8069315741636899</v>
      </c>
      <c r="O5">
        <f t="shared" si="3"/>
        <v>414924617030.12115</v>
      </c>
      <c r="P5">
        <f t="shared" si="4"/>
        <v>1734181925030.299</v>
      </c>
      <c r="Q5">
        <f t="shared" si="5"/>
        <v>147.8170931717551</v>
      </c>
      <c r="R5" s="15" t="str">
        <f t="shared" si="6"/>
        <v>Switzerland</v>
      </c>
    </row>
    <row r="6" spans="1:18" ht="12.75">
      <c r="A6" s="6" t="s">
        <v>41</v>
      </c>
      <c r="B6">
        <f>VLOOKUP(A6,'1A1a dataviewer'!$A$5:$D$37,3,FALSE)</f>
        <v>6004.9028383296</v>
      </c>
      <c r="C6">
        <f>(VLOOKUP(A6,Heat!$A$122:$F$163,5,FALSE))/gwh_conv</f>
        <v>25438.055555555555</v>
      </c>
      <c r="D6">
        <f>(VLOOKUP(A6,Heat!$A$67:$F$108,5,FALSE))/gwh_conv</f>
        <v>18484.166666666668</v>
      </c>
      <c r="E6" s="18">
        <f>(VLOOKUP(A6,'All products'!$A$177:$F$218,5,FALSE))/(VLOOKUP(A6,'All products'!$A$67:$F$108,5,FALSE))</f>
        <v>0.8762177609075296</v>
      </c>
      <c r="F6" s="18">
        <f>IF(VLOOKUP(A6,'All products'!$A$12:$F$53,5,FALSE)&gt;0,IF(((VLOOKUP(A6,'All products'!$A$122:$F$163,5,FALSE))/(VLOOKUP(A6,'All products'!$A$12:$F$53,5,FALSE)))&lt;1,((VLOOKUP(A6,'All products'!$A$122:$F$163,5,FALSE))/(VLOOKUP(A6,'All products'!$A$12:$F$53,5,FALSE))),1),0)</f>
        <v>1</v>
      </c>
      <c r="G6" s="20">
        <f>((VLOOKUP(A6,Heat!$A$287:$F$328,5,FALSE))-(VLOOKUP(A6,Heat!$A$12:Heat!$F$53,5,FALSE))-(VLOOKUP(A6,Heat!$A$67:$F$108,5,FALSE)))/gwh_conv</f>
        <v>0</v>
      </c>
      <c r="H6">
        <f>(VLOOKUP(A6,Electricity!$A$177:$F$218,5,FALSE))+(((VLOOKUP(A6,Heat!$A$287:$F$328,5,FALSE))/gwh_conv))</f>
        <v>198222.11111111112</v>
      </c>
      <c r="I6">
        <f>((VLOOKUP(A6,Electricity!$A$122:$F$163,5,FALSE))+(VLOOKUP(A6,Heat!$A$177:$F$218,5,FALSE)))/gwh_conv</f>
        <v>11345.833333333334</v>
      </c>
      <c r="J6">
        <f>(VLOOKUP(A6,Electricity!$A$177:$F$218,5,FALSE))</f>
        <v>148926</v>
      </c>
      <c r="K6">
        <f>((VLOOKUP(A6,Electricity!$A$122:$F$163,5,FALSE)))/gwh_conv</f>
        <v>5971.944444444444</v>
      </c>
      <c r="L6">
        <f t="shared" si="0"/>
        <v>41634.21068446382</v>
      </c>
      <c r="M6" s="21">
        <f t="shared" si="1"/>
        <v>0.22279023950794205</v>
      </c>
      <c r="N6" s="21">
        <f t="shared" si="2"/>
        <v>0.7772097604920579</v>
      </c>
      <c r="O6">
        <f t="shared" si="3"/>
        <v>1337833741573.3726</v>
      </c>
      <c r="P6">
        <f t="shared" si="4"/>
        <v>4667069096756.227</v>
      </c>
      <c r="Q6">
        <f t="shared" si="5"/>
        <v>32.64733608724018</v>
      </c>
      <c r="R6" s="15" t="str">
        <f t="shared" si="6"/>
        <v>Sweden</v>
      </c>
    </row>
    <row r="7" spans="1:18" ht="12.75">
      <c r="A7" s="6" t="s">
        <v>25</v>
      </c>
      <c r="B7">
        <f>VLOOKUP(A7,'1A1a dataviewer'!$A$5:$D$37,3,FALSE)</f>
        <v>43335.8103727336</v>
      </c>
      <c r="C7">
        <f>(VLOOKUP(A7,Heat!$A$122:$F$163,5,FALSE))/gwh_conv</f>
        <v>0</v>
      </c>
      <c r="D7">
        <f>(VLOOKUP(A7,Heat!$A$67:$F$108,5,FALSE))/gwh_conv</f>
        <v>0</v>
      </c>
      <c r="E7" s="18">
        <f>(VLOOKUP(A7,'All products'!$A$177:$F$218,5,FALSE))/(VLOOKUP(A7,'All products'!$A$67:$F$108,5,FALSE))</f>
        <v>0.28694809605625926</v>
      </c>
      <c r="F7" s="18">
        <f>IF(VLOOKUP(A7,'All products'!$A$12:$F$53,5,FALSE)&gt;0,IF(((VLOOKUP(A7,'All products'!$A$122:$F$163,5,FALSE))/(VLOOKUP(A7,'All products'!$A$12:$F$53,5,FALSE)))&lt;1,((VLOOKUP(A7,'All products'!$A$122:$F$163,5,FALSE))/(VLOOKUP(A7,'All products'!$A$12:$F$53,5,FALSE))),1),0)</f>
        <v>0</v>
      </c>
      <c r="G7" s="20">
        <f>((VLOOKUP(A7,Heat!$A$287:$F$328,5,FALSE))-(VLOOKUP(A7,Heat!$A$12:Heat!$F$53,5,FALSE))-(VLOOKUP(A7,Heat!$A$67:$F$108,5,FALSE)))/gwh_conv</f>
        <v>0</v>
      </c>
      <c r="H7">
        <f>(VLOOKUP(A7,Electricity!$A$177:$F$218,5,FALSE))+(((VLOOKUP(A7,Heat!$A$287:$F$328,5,FALSE))/gwh_conv))</f>
        <v>569841</v>
      </c>
      <c r="I7">
        <f>((VLOOKUP(A7,Electricity!$A$122:$F$163,5,FALSE))+(VLOOKUP(A7,Heat!$A$177:$F$218,5,FALSE)))/gwh_conv</f>
        <v>21963.888888888887</v>
      </c>
      <c r="J7">
        <f>(VLOOKUP(A7,Electricity!$A$177:$F$218,5,FALSE))</f>
        <v>569841</v>
      </c>
      <c r="K7">
        <f>((VLOOKUP(A7,Electricity!$A$122:$F$163,5,FALSE)))/gwh_conv</f>
        <v>21963.888888888887</v>
      </c>
      <c r="L7">
        <f t="shared" si="0"/>
        <v>0</v>
      </c>
      <c r="M7" s="21">
        <f t="shared" si="1"/>
        <v>0</v>
      </c>
      <c r="N7" s="21">
        <f t="shared" si="2"/>
        <v>1</v>
      </c>
      <c r="O7">
        <f t="shared" si="3"/>
        <v>0</v>
      </c>
      <c r="P7">
        <f t="shared" si="4"/>
        <v>43335810372733.6</v>
      </c>
      <c r="Q7">
        <f t="shared" si="5"/>
        <v>79.09768357514933</v>
      </c>
      <c r="R7" s="15" t="str">
        <f t="shared" si="6"/>
        <v>France</v>
      </c>
    </row>
    <row r="8" spans="1:18" ht="12.75">
      <c r="A8" s="6" t="s">
        <v>33</v>
      </c>
      <c r="B8">
        <f>VLOOKUP(A8,'1A1a dataviewer'!$A$5:$D$37,3,FALSE)</f>
        <v>2298.28658573989</v>
      </c>
      <c r="C8">
        <f>(VLOOKUP(A8,Heat!$A$122:$F$163,5,FALSE))/gwh_conv</f>
        <v>4343.055555555556</v>
      </c>
      <c r="D8">
        <f>(VLOOKUP(A8,Heat!$A$67:$F$108,5,FALSE))/gwh_conv</f>
        <v>3501.9444444444443</v>
      </c>
      <c r="E8" s="18">
        <f>(VLOOKUP(A8,'All products'!$A$177:$F$218,5,FALSE))/(VLOOKUP(A8,'All products'!$A$67:$F$108,5,FALSE))</f>
        <v>0.8626430403000498</v>
      </c>
      <c r="F8" s="18">
        <f>IF(VLOOKUP(A8,'All products'!$A$12:$F$53,5,FALSE)&gt;0,IF(((VLOOKUP(A8,'All products'!$A$122:$F$163,5,FALSE))/(VLOOKUP(A8,'All products'!$A$12:$F$53,5,FALSE)))&lt;1,((VLOOKUP(A8,'All products'!$A$122:$F$163,5,FALSE))/(VLOOKUP(A8,'All products'!$A$12:$F$53,5,FALSE))),1),0)</f>
        <v>0.8081928328739022</v>
      </c>
      <c r="G8" s="20">
        <f>((VLOOKUP(A8,Heat!$A$287:$F$328,5,FALSE))-(VLOOKUP(A8,Heat!$A$12:Heat!$F$53,5,FALSE))-(VLOOKUP(A8,Heat!$A$67:$F$108,5,FALSE)))/gwh_conv</f>
        <v>0</v>
      </c>
      <c r="H8">
        <f>(VLOOKUP(A8,Electricity!$A$177:$F$218,5,FALSE))+(((VLOOKUP(A8,Heat!$A$287:$F$328,5,FALSE))/gwh_conv))</f>
        <v>12739.055555555555</v>
      </c>
      <c r="I8">
        <f>((VLOOKUP(A8,Electricity!$A$122:$F$163,5,FALSE))+(VLOOKUP(A8,Heat!$A$177:$F$218,5,FALSE)))/gwh_conv</f>
        <v>190</v>
      </c>
      <c r="J8">
        <f>(VLOOKUP(A8,Electricity!$A$177:$F$218,5,FALSE))</f>
        <v>4771</v>
      </c>
      <c r="K8">
        <f>((VLOOKUP(A8,Electricity!$A$122:$F$163,5,FALSE)))/gwh_conv</f>
        <v>66.94444444444444</v>
      </c>
      <c r="L8">
        <f t="shared" si="0"/>
        <v>8080.935773789021</v>
      </c>
      <c r="M8" s="21">
        <f t="shared" si="1"/>
        <v>0.6439477248318926</v>
      </c>
      <c r="N8" s="21">
        <f t="shared" si="2"/>
        <v>0.35605227516810745</v>
      </c>
      <c r="O8">
        <f t="shared" si="3"/>
        <v>1479976417898.8606</v>
      </c>
      <c r="P8">
        <f t="shared" si="4"/>
        <v>818310167841.0295</v>
      </c>
      <c r="Q8">
        <f t="shared" si="5"/>
        <v>173.9584403663332</v>
      </c>
      <c r="R8" s="15" t="str">
        <f t="shared" si="6"/>
        <v>Latvia</v>
      </c>
    </row>
    <row r="9" spans="1:18" ht="12.75">
      <c r="A9" s="22" t="s">
        <v>8</v>
      </c>
      <c r="B9">
        <f>VLOOKUP(A9,'1A1a dataviewer'!$A$5:$D$37,3,FALSE)</f>
        <v>9677.38957739584</v>
      </c>
      <c r="C9">
        <f>(VLOOKUP(A9,Heat!$A$122:$F$163,5,FALSE))/gwh_conv</f>
        <v>10431.388888888889</v>
      </c>
      <c r="D9">
        <f>(VLOOKUP(A9,Heat!$A$67:$F$108,5,FALSE))/gwh_conv</f>
        <v>5575.555555555556</v>
      </c>
      <c r="E9" s="18">
        <f>(VLOOKUP(A9,'All products'!$A$177:$F$218,5,FALSE))/(VLOOKUP(A9,'All products'!$A$67:$F$108,5,FALSE))</f>
        <v>0.5809491733006736</v>
      </c>
      <c r="F9" s="18">
        <f>IF(VLOOKUP(A9,'All products'!$A$12:$F$53,5,FALSE)&gt;0,IF(((VLOOKUP(A9,'All products'!$A$122:$F$163,5,FALSE))/(VLOOKUP(A9,'All products'!$A$12:$F$53,5,FALSE)))&lt;1,((VLOOKUP(A9,'All products'!$A$122:$F$163,5,FALSE))/(VLOOKUP(A9,'All products'!$A$12:$F$53,5,FALSE))),1),0)</f>
        <v>0.8023023423135343</v>
      </c>
      <c r="G9" s="20">
        <f>((VLOOKUP(A9,Heat!$A$287:$F$328,5,FALSE))-(VLOOKUP(A9,Heat!$A$12:Heat!$F$53,5,FALSE))-(VLOOKUP(A9,Heat!$A$67:$F$108,5,FALSE)))/gwh_conv</f>
        <v>0</v>
      </c>
      <c r="H9">
        <f>(VLOOKUP(A9,Electricity!$A$177:$F$218,5,FALSE))+(((VLOOKUP(A9,Heat!$A$287:$F$328,5,FALSE))/gwh_conv))</f>
        <v>82515.66666666667</v>
      </c>
      <c r="I9">
        <f>((VLOOKUP(A9,Electricity!$A$122:$F$163,5,FALSE))+(VLOOKUP(A9,Heat!$A$177:$F$218,5,FALSE)))/gwh_conv</f>
        <v>9364.722222222223</v>
      </c>
      <c r="J9">
        <f>(VLOOKUP(A9,Electricity!$A$177:$F$218,5,FALSE))</f>
        <v>64769</v>
      </c>
      <c r="K9">
        <f>((VLOOKUP(A9,Electricity!$A$122:$F$163,5,FALSE)))/gwh_conv</f>
        <v>7625</v>
      </c>
      <c r="L9">
        <f>IF(F9&gt;0,C9+G9+(D9*(E9/F9)),C9+G9+(D9*E9))</f>
        <v>14468.662893787849</v>
      </c>
      <c r="M9" s="21">
        <f t="shared" si="1"/>
        <v>0.19779188093430952</v>
      </c>
      <c r="N9" s="21">
        <f>1-M9</f>
        <v>0.8022081190656905</v>
      </c>
      <c r="O9">
        <f t="shared" si="3"/>
        <v>1914109087047.2058</v>
      </c>
      <c r="P9">
        <f t="shared" si="4"/>
        <v>7763280490348.633</v>
      </c>
      <c r="Q9">
        <f t="shared" si="5"/>
        <v>135.85469148727134</v>
      </c>
      <c r="R9" s="15" t="str">
        <f t="shared" si="6"/>
        <v>Austria</v>
      </c>
    </row>
    <row r="10" spans="1:18" ht="12.75">
      <c r="A10" s="6" t="s">
        <v>43</v>
      </c>
      <c r="B10">
        <f>VLOOKUP(A10,'1A1a dataviewer'!$A$5:$D$37,3,FALSE)</f>
        <v>9144.55136480523</v>
      </c>
      <c r="C10">
        <f>(VLOOKUP(A10,Heat!$A$122:$F$163,5,FALSE))/gwh_conv</f>
        <v>5055</v>
      </c>
      <c r="D10">
        <f>(VLOOKUP(A10,Heat!$A$67:$F$108,5,FALSE))/gwh_conv</f>
        <v>5500</v>
      </c>
      <c r="E10" s="18">
        <f>(VLOOKUP(A10,'All products'!$A$177:$F$218,5,FALSE))/(VLOOKUP(A10,'All products'!$A$67:$F$108,5,FALSE))</f>
        <v>0.5278727889541945</v>
      </c>
      <c r="F10" s="18">
        <f>IF(VLOOKUP(A10,'All products'!$A$12:$F$53,5,FALSE)&gt;0,IF(((VLOOKUP(A10,'All products'!$A$122:$F$163,5,FALSE))/(VLOOKUP(A10,'All products'!$A$12:$F$53,5,FALSE)))&lt;1,((VLOOKUP(A10,'All products'!$A$122:$F$163,5,FALSE))/(VLOOKUP(A10,'All products'!$A$12:$F$53,5,FALSE))),1),0)</f>
        <v>0.8865407002776037</v>
      </c>
      <c r="G10" s="20">
        <f>((VLOOKUP(A10,Heat!$A$287:$F$328,5,FALSE))-(VLOOKUP(A10,Heat!$A$12:Heat!$F$53,5,FALSE))-(VLOOKUP(A10,Heat!$A$67:$F$108,5,FALSE)))/gwh_conv</f>
        <v>565.2777777777777</v>
      </c>
      <c r="H10">
        <f>(VLOOKUP(A10,Electricity!$A$177:$F$218,5,FALSE))+(((VLOOKUP(A10,Heat!$A$287:$F$328,5,FALSE))/gwh_conv))</f>
        <v>39900.72222222222</v>
      </c>
      <c r="I10">
        <f>((VLOOKUP(A10,Electricity!$A$122:$F$163,5,FALSE))+(VLOOKUP(A10,Heat!$A$177:$F$218,5,FALSE)))/gwh_conv</f>
        <v>3375.5555555555557</v>
      </c>
      <c r="J10">
        <f>(VLOOKUP(A10,Electricity!$A$177:$F$218,5,FALSE))</f>
        <v>28056</v>
      </c>
      <c r="K10">
        <f>((VLOOKUP(A10,Electricity!$A$122:$F$163,5,FALSE)))/gwh_conv</f>
        <v>2651.111111111111</v>
      </c>
      <c r="L10">
        <f t="shared" si="0"/>
        <v>8895.141907917494</v>
      </c>
      <c r="M10" s="21">
        <f t="shared" si="1"/>
        <v>0.24353460147343597</v>
      </c>
      <c r="N10" s="21">
        <f t="shared" si="2"/>
        <v>0.756465398526564</v>
      </c>
      <c r="O10">
        <f t="shared" si="3"/>
        <v>2227014672281.2065</v>
      </c>
      <c r="P10">
        <f t="shared" si="4"/>
        <v>6917536692524.022</v>
      </c>
      <c r="Q10">
        <f t="shared" si="5"/>
        <v>272.29155469951627</v>
      </c>
      <c r="R10" s="15" t="str">
        <f t="shared" si="6"/>
        <v>Slovakia</v>
      </c>
    </row>
    <row r="11" spans="1:18" ht="12.75">
      <c r="A11" s="6" t="s">
        <v>9</v>
      </c>
      <c r="B11">
        <f>VLOOKUP(A11,'1A1a dataviewer'!$A$5:$D$37,3,FALSE)</f>
        <v>23085.8590119478</v>
      </c>
      <c r="C11">
        <f>(VLOOKUP(A11,Heat!$A$122:$F$163,5,FALSE))/gwh_conv</f>
        <v>7335.833333333333</v>
      </c>
      <c r="D11">
        <f>(VLOOKUP(A11,Heat!$A$67:$F$108,5,FALSE))/gwh_conv</f>
        <v>41.11111111111111</v>
      </c>
      <c r="E11" s="18">
        <f>(VLOOKUP(A11,'All products'!$A$177:$F$218,5,FALSE))/(VLOOKUP(A11,'All products'!$A$67:$F$108,5,FALSE))</f>
        <v>0.5195280594951903</v>
      </c>
      <c r="F11" s="18">
        <f>IF(VLOOKUP(A11,'All products'!$A$12:$F$53,5,FALSE)&gt;0,IF(((VLOOKUP(A11,'All products'!$A$122:$F$163,5,FALSE))/(VLOOKUP(A11,'All products'!$A$12:$F$53,5,FALSE)))&lt;1,((VLOOKUP(A11,'All products'!$A$122:$F$163,5,FALSE))/(VLOOKUP(A11,'All products'!$A$12:$F$53,5,FALSE))),1),0)</f>
        <v>1</v>
      </c>
      <c r="G11" s="20">
        <f>((VLOOKUP(A11,Heat!$A$287:$F$328,5,FALSE))-(VLOOKUP(A11,Heat!$A$12:Heat!$F$53,5,FALSE))-(VLOOKUP(A11,Heat!$A$67:$F$108,5,FALSE)))/gwh_conv</f>
        <v>0</v>
      </c>
      <c r="H11">
        <f>(VLOOKUP(A11,Electricity!$A$177:$F$218,5,FALSE))+(((VLOOKUP(A11,Heat!$A$287:$F$328,5,FALSE))/gwh_conv))</f>
        <v>96196.94444444444</v>
      </c>
      <c r="I11">
        <f>((VLOOKUP(A11,Electricity!$A$122:$F$163,5,FALSE))+(VLOOKUP(A11,Heat!$A$177:$F$218,5,FALSE)))/gwh_conv</f>
        <v>2106.9444444444443</v>
      </c>
      <c r="J11">
        <f>(VLOOKUP(A11,Electricity!$A$177:$F$218,5,FALSE))</f>
        <v>88820</v>
      </c>
      <c r="K11">
        <f>((VLOOKUP(A11,Electricity!$A$122:$F$163,5,FALSE)))/gwh_conv</f>
        <v>2106.9444444444443</v>
      </c>
      <c r="L11">
        <f t="shared" si="0"/>
        <v>7357.19170911258</v>
      </c>
      <c r="M11" s="21">
        <f t="shared" si="1"/>
        <v>0.078193131141594</v>
      </c>
      <c r="N11" s="21">
        <f t="shared" si="2"/>
        <v>0.921806868858406</v>
      </c>
      <c r="O11">
        <f t="shared" si="3"/>
        <v>1805155601237.584</v>
      </c>
      <c r="P11">
        <f t="shared" si="4"/>
        <v>21280703410710.215</v>
      </c>
      <c r="Q11">
        <f t="shared" si="5"/>
        <v>245.41521774741332</v>
      </c>
      <c r="R11" s="15" t="str">
        <f t="shared" si="6"/>
        <v>Belgium</v>
      </c>
    </row>
    <row r="12" spans="1:18" ht="12.75">
      <c r="A12" s="6" t="s">
        <v>24</v>
      </c>
      <c r="B12">
        <f>VLOOKUP(A12,'1A1a dataviewer'!$A$5:$D$37,3,FALSE)</f>
        <v>18996.064203856</v>
      </c>
      <c r="C12">
        <f>(VLOOKUP(A12,Heat!$A$122:$F$163,5,FALSE))/gwh_conv</f>
        <v>33860.555555555555</v>
      </c>
      <c r="D12">
        <f>(VLOOKUP(A12,Heat!$A$67:$F$108,5,FALSE))/gwh_conv</f>
        <v>13655.277777777777</v>
      </c>
      <c r="E12" s="18">
        <f>(VLOOKUP(A12,'All products'!$A$177:$F$218,5,FALSE))/(VLOOKUP(A12,'All products'!$A$67:$F$108,5,FALSE))</f>
        <v>0.7000306019161507</v>
      </c>
      <c r="F12" s="18">
        <f>IF(VLOOKUP(A12,'All products'!$A$12:$F$53,5,FALSE)&gt;0,IF(((VLOOKUP(A12,'All products'!$A$122:$F$163,5,FALSE))/(VLOOKUP(A12,'All products'!$A$12:$F$53,5,FALSE)))&lt;1,((VLOOKUP(A12,'All products'!$A$122:$F$163,5,FALSE))/(VLOOKUP(A12,'All products'!$A$12:$F$53,5,FALSE))),1),0)</f>
        <v>1</v>
      </c>
      <c r="G12" s="20">
        <f>((VLOOKUP(A12,Heat!$A$287:$F$328,5,FALSE))-(VLOOKUP(A12,Heat!$A$12:Heat!$F$53,5,FALSE))-(VLOOKUP(A12,Heat!$A$67:$F$108,5,FALSE)))/gwh_conv</f>
        <v>0</v>
      </c>
      <c r="H12">
        <f>(VLOOKUP(A12,Electricity!$A$177:$F$218,5,FALSE))+(((VLOOKUP(A12,Heat!$A$287:$F$328,5,FALSE))/gwh_conv))</f>
        <v>134614.88888888888</v>
      </c>
      <c r="I12">
        <f>((VLOOKUP(A12,Electricity!$A$122:$F$163,5,FALSE))+(VLOOKUP(A12,Heat!$A$177:$F$218,5,FALSE)))/gwh_conv</f>
        <v>17083.055555555555</v>
      </c>
      <c r="J12">
        <f>(VLOOKUP(A12,Electricity!$A$177:$F$218,5,FALSE))</f>
        <v>81246</v>
      </c>
      <c r="K12">
        <f>((VLOOKUP(A12,Electricity!$A$122:$F$163,5,FALSE)))/gwh_conv</f>
        <v>11230</v>
      </c>
      <c r="L12">
        <f t="shared" si="0"/>
        <v>43419.66787766557</v>
      </c>
      <c r="M12" s="21">
        <f t="shared" si="1"/>
        <v>0.36942900188175043</v>
      </c>
      <c r="N12" s="21">
        <f t="shared" si="2"/>
        <v>0.6305709981182496</v>
      </c>
      <c r="O12">
        <f t="shared" si="3"/>
        <v>7017697038512.17</v>
      </c>
      <c r="P12">
        <f t="shared" si="4"/>
        <v>11978367165343.83</v>
      </c>
      <c r="Q12">
        <f t="shared" si="5"/>
        <v>171.0804268359208</v>
      </c>
      <c r="R12" s="15" t="str">
        <f t="shared" si="6"/>
        <v>Finland</v>
      </c>
    </row>
    <row r="13" spans="1:18" ht="12.75">
      <c r="A13" s="6" t="s">
        <v>28</v>
      </c>
      <c r="B13">
        <f>VLOOKUP(A13,'1A1a dataviewer'!$A$5:$D$37,3,FALSE)</f>
        <v>22155.9147253</v>
      </c>
      <c r="C13">
        <f>(VLOOKUP(A13,Heat!$A$122:$F$163,5,FALSE))/gwh_conv</f>
        <v>10529.722222222223</v>
      </c>
      <c r="D13">
        <f>(VLOOKUP(A13,Heat!$A$67:$F$108,5,FALSE))/gwh_conv</f>
        <v>5106.944444444444</v>
      </c>
      <c r="E13" s="18">
        <f>(VLOOKUP(A13,'All products'!$A$177:$F$218,5,FALSE))/(VLOOKUP(A13,'All products'!$A$67:$F$108,5,FALSE))</f>
        <v>0.4961314143267015</v>
      </c>
      <c r="F13" s="18">
        <f>IF(VLOOKUP(A13,'All products'!$A$12:$F$53,5,FALSE)&gt;0,IF(((VLOOKUP(A13,'All products'!$A$122:$F$163,5,FALSE))/(VLOOKUP(A13,'All products'!$A$12:$F$53,5,FALSE)))&lt;1,((VLOOKUP(A13,'All products'!$A$122:$F$163,5,FALSE))/(VLOOKUP(A13,'All products'!$A$12:$F$53,5,FALSE))),1),0)</f>
        <v>0.7749209694415173</v>
      </c>
      <c r="G13" s="20">
        <f>((VLOOKUP(A13,Heat!$A$287:$F$328,5,FALSE))-(VLOOKUP(A13,Heat!$A$12:Heat!$F$53,5,FALSE))-(VLOOKUP(A13,Heat!$A$67:$F$108,5,FALSE)))/gwh_conv</f>
        <v>150</v>
      </c>
      <c r="H13">
        <f>(VLOOKUP(A13,Electricity!$A$177:$F$218,5,FALSE))+(((VLOOKUP(A13,Heat!$A$287:$F$328,5,FALSE))/gwh_conv))</f>
        <v>55798.444444444445</v>
      </c>
      <c r="I13">
        <f>((VLOOKUP(A13,Electricity!$A$122:$F$163,5,FALSE))+(VLOOKUP(A13,Heat!$A$177:$F$218,5,FALSE)))/gwh_conv</f>
        <v>383.88888888888886</v>
      </c>
      <c r="J13">
        <f>(VLOOKUP(A13,Electricity!$A$177:$F$218,5,FALSE))</f>
        <v>39959</v>
      </c>
      <c r="K13">
        <f>((VLOOKUP(A13,Electricity!$A$122:$F$163,5,FALSE)))/gwh_conv</f>
        <v>331.1111111111111</v>
      </c>
      <c r="L13">
        <f t="shared" si="0"/>
        <v>13949.366056916942</v>
      </c>
      <c r="M13" s="21">
        <f t="shared" si="1"/>
        <v>0.251727473351872</v>
      </c>
      <c r="N13" s="21">
        <f t="shared" si="2"/>
        <v>0.748272526648128</v>
      </c>
      <c r="O13">
        <f t="shared" si="3"/>
        <v>5577252433599.305</v>
      </c>
      <c r="P13">
        <f t="shared" si="4"/>
        <v>16578662291700.697</v>
      </c>
      <c r="Q13">
        <f t="shared" si="5"/>
        <v>418.3584530123461</v>
      </c>
      <c r="R13" s="15" t="str">
        <f t="shared" si="6"/>
        <v>Hungary</v>
      </c>
    </row>
    <row r="14" spans="1:18" ht="12.75">
      <c r="A14" s="6" t="s">
        <v>14</v>
      </c>
      <c r="B14">
        <f>VLOOKUP(A14,'1A1a dataviewer'!$A$5:$D$37,3,FALSE)</f>
        <v>23135.520953274</v>
      </c>
      <c r="C14">
        <f>(VLOOKUP(A14,Heat!$A$122:$F$163,5,FALSE))/gwh_conv</f>
        <v>22613.888888888887</v>
      </c>
      <c r="D14">
        <f>(VLOOKUP(A14,Heat!$A$67:$F$108,5,FALSE))/gwh_conv</f>
        <v>6803.055555555556</v>
      </c>
      <c r="E14" s="18">
        <f>(VLOOKUP(A14,'All products'!$A$177:$F$218,5,FALSE))/(VLOOKUP(A14,'All products'!$A$67:$F$108,5,FALSE))</f>
        <v>0.6466391120158451</v>
      </c>
      <c r="F14" s="18">
        <f>IF(VLOOKUP(A14,'All products'!$A$12:$F$53,5,FALSE)&gt;0,IF(((VLOOKUP(A14,'All products'!$A$122:$F$163,5,FALSE))/(VLOOKUP(A14,'All products'!$A$12:$F$53,5,FALSE)))&lt;1,((VLOOKUP(A14,'All products'!$A$122:$F$163,5,FALSE))/(VLOOKUP(A14,'All products'!$A$12:$F$53,5,FALSE))),1),0)</f>
        <v>1</v>
      </c>
      <c r="G14" s="20">
        <f>((VLOOKUP(A14,Heat!$A$287:$F$328,5,FALSE))-(VLOOKUP(A14,Heat!$A$12:Heat!$F$53,5,FALSE))-(VLOOKUP(A14,Heat!$A$67:$F$108,5,FALSE)))/gwh_conv</f>
        <v>0</v>
      </c>
      <c r="H14">
        <f>(VLOOKUP(A14,Electricity!$A$177:$F$218,5,FALSE))+(((VLOOKUP(A14,Heat!$A$287:$F$328,5,FALSE))/gwh_conv))</f>
        <v>73025.44444444444</v>
      </c>
      <c r="I14">
        <f>((VLOOKUP(A14,Electricity!$A$122:$F$163,5,FALSE))+(VLOOKUP(A14,Heat!$A$177:$F$218,5,FALSE)))/gwh_conv</f>
        <v>6787.5</v>
      </c>
      <c r="J14">
        <f>(VLOOKUP(A14,Electricity!$A$177:$F$218,5,FALSE))</f>
        <v>39156</v>
      </c>
      <c r="K14">
        <f>((VLOOKUP(A14,Electricity!$A$122:$F$163,5,FALSE)))/gwh_conv</f>
        <v>2335</v>
      </c>
      <c r="L14">
        <f t="shared" si="0"/>
        <v>27013.010692327793</v>
      </c>
      <c r="M14" s="21">
        <f t="shared" si="1"/>
        <v>0.4078177684844121</v>
      </c>
      <c r="N14" s="21">
        <f t="shared" si="2"/>
        <v>0.5921822315155879</v>
      </c>
      <c r="O14">
        <f t="shared" si="3"/>
        <v>9435076527888.56</v>
      </c>
      <c r="P14">
        <f t="shared" si="4"/>
        <v>13700444425385.44</v>
      </c>
      <c r="Q14">
        <f t="shared" si="5"/>
        <v>372.0823558671801</v>
      </c>
      <c r="R14" s="15" t="str">
        <f t="shared" si="6"/>
        <v>Denmark</v>
      </c>
    </row>
    <row r="15" spans="1:18" ht="12.75">
      <c r="A15" s="6" t="s">
        <v>31</v>
      </c>
      <c r="B15">
        <f>VLOOKUP(A15,'1A1a dataviewer'!$A$5:$D$37,3,FALSE)</f>
        <v>115158.921838397</v>
      </c>
      <c r="C15">
        <f>(VLOOKUP(A15,Heat!$A$122:$F$163,5,FALSE))/gwh_conv</f>
        <v>23149.722222222223</v>
      </c>
      <c r="D15">
        <f>(VLOOKUP(A15,Heat!$A$67:$F$108,5,FALSE))/gwh_conv</f>
        <v>0</v>
      </c>
      <c r="E15" s="18">
        <f>(VLOOKUP(A15,'All products'!$A$177:$F$218,5,FALSE))/(VLOOKUP(A15,'All products'!$A$67:$F$108,5,FALSE))</f>
        <v>0.490941379293311</v>
      </c>
      <c r="F15" s="18">
        <f>IF(VLOOKUP(A15,'All products'!$A$12:$F$53,5,FALSE)&gt;0,IF(((VLOOKUP(A15,'All products'!$A$122:$F$163,5,FALSE))/(VLOOKUP(A15,'All products'!$A$12:$F$53,5,FALSE)))&lt;1,((VLOOKUP(A15,'All products'!$A$122:$F$163,5,FALSE))/(VLOOKUP(A15,'All products'!$A$12:$F$53,5,FALSE))),1),0)</f>
        <v>0</v>
      </c>
      <c r="G15" s="20">
        <f>((VLOOKUP(A15,Heat!$A$287:$F$328,5,FALSE))-(VLOOKUP(A15,Heat!$A$12:Heat!$F$53,5,FALSE))-(VLOOKUP(A15,Heat!$A$67:$F$108,5,FALSE)))/gwh_conv</f>
        <v>0</v>
      </c>
      <c r="H15">
        <f>(VLOOKUP(A15,Electricity!$A$177:$F$218,5,FALSE))+(((VLOOKUP(A15,Heat!$A$287:$F$328,5,FALSE))/gwh_conv))</f>
        <v>370667.8333333333</v>
      </c>
      <c r="I15">
        <f>((VLOOKUP(A15,Electricity!$A$122:$F$163,5,FALSE))+(VLOOKUP(A15,Heat!$A$177:$F$218,5,FALSE)))/gwh_conv</f>
        <v>52044.166666666664</v>
      </c>
      <c r="J15">
        <f>(VLOOKUP(A15,Electricity!$A$177:$F$218,5,FALSE))</f>
        <v>313887</v>
      </c>
      <c r="K15">
        <f>((VLOOKUP(A15,Electricity!$A$122:$F$163,5,FALSE)))/gwh_conv</f>
        <v>18413.055555555555</v>
      </c>
      <c r="L15">
        <f t="shared" si="0"/>
        <v>23149.722222222223</v>
      </c>
      <c r="M15" s="21">
        <f t="shared" si="1"/>
        <v>0.07265537574282166</v>
      </c>
      <c r="N15" s="21">
        <f t="shared" si="2"/>
        <v>0.9273446242571783</v>
      </c>
      <c r="O15">
        <f t="shared" si="3"/>
        <v>8366914736306.964</v>
      </c>
      <c r="P15">
        <f t="shared" si="4"/>
        <v>106792007102090.03</v>
      </c>
      <c r="Q15">
        <f t="shared" si="5"/>
        <v>361.42613963096585</v>
      </c>
      <c r="R15" s="15" t="str">
        <f t="shared" si="6"/>
        <v>Italy</v>
      </c>
    </row>
    <row r="16" spans="1:18" ht="12.75">
      <c r="A16" s="6" t="s">
        <v>92</v>
      </c>
      <c r="B16">
        <f>VLOOKUP(A16,'1A1a dataviewer'!$A$5:$D$37,3,FALSE)</f>
        <v>186.081061880213</v>
      </c>
      <c r="C16">
        <f>(VLOOKUP(A16,Heat!$A$122:$F$163,5,FALSE))/gwh_conv</f>
        <v>0</v>
      </c>
      <c r="D16">
        <f>(VLOOKUP(A16,Heat!$A$67:$F$108,5,FALSE))/gwh_conv</f>
        <v>0</v>
      </c>
      <c r="E16" s="18">
        <f>(VLOOKUP(A16,'All products'!$A$177:$F$218,5,FALSE))/(VLOOKUP(A16,'All products'!$A$67:$F$108,5,FALSE))</f>
        <v>0.5093086554164399</v>
      </c>
      <c r="F16" s="18">
        <f>IF(VLOOKUP(A16,'All products'!$A$12:$F$53,5,FALSE)&gt;0,IF(((VLOOKUP(A16,'All products'!$A$122:$F$163,5,FALSE))/(VLOOKUP(A16,'All products'!$A$12:$F$53,5,FALSE)))&lt;1,((VLOOKUP(A16,'All products'!$A$122:$F$163,5,FALSE))/(VLOOKUP(A16,'All products'!$A$12:$F$53,5,FALSE))),1),0)</f>
        <v>0</v>
      </c>
      <c r="G16" s="20">
        <f>((VLOOKUP(A16,Heat!$A$287:$F$328,5,FALSE))-(VLOOKUP(A16,Heat!$A$12:Heat!$F$53,5,FALSE))-(VLOOKUP(A16,Heat!$A$67:$F$108,5,FALSE)))/gwh_conv</f>
        <v>0</v>
      </c>
      <c r="H16">
        <f>(VLOOKUP(A16,Electricity!$A$177:$F$218,5,FALSE))+(((VLOOKUP(A16,Heat!$A$287:$F$328,5,FALSE))/gwh_conv))</f>
        <v>4635.333333333333</v>
      </c>
      <c r="I16">
        <f>((VLOOKUP(A16,Electricity!$A$122:$F$163,5,FALSE))+(VLOOKUP(A16,Heat!$A$177:$F$218,5,FALSE)))/gwh_conv</f>
        <v>1032.2222222222222</v>
      </c>
      <c r="J16">
        <f>(VLOOKUP(A16,Electricity!$A$177:$F$218,5,FALSE))</f>
        <v>4002</v>
      </c>
      <c r="K16">
        <f>((VLOOKUP(A16,Electricity!$A$122:$F$163,5,FALSE)))/gwh_conv</f>
        <v>398.88888888888886</v>
      </c>
      <c r="L16">
        <f t="shared" si="0"/>
        <v>0</v>
      </c>
      <c r="M16" s="21">
        <f t="shared" si="1"/>
        <v>0</v>
      </c>
      <c r="N16" s="21">
        <f t="shared" si="2"/>
        <v>1</v>
      </c>
      <c r="O16">
        <f t="shared" si="3"/>
        <v>0</v>
      </c>
      <c r="P16">
        <f t="shared" si="4"/>
        <v>186081061880.213</v>
      </c>
      <c r="Q16">
        <f t="shared" si="5"/>
        <v>51.644552760636394</v>
      </c>
      <c r="R16" s="15" t="str">
        <f t="shared" si="6"/>
        <v>Luxembourg </v>
      </c>
    </row>
    <row r="17" spans="1:18" ht="12.75">
      <c r="A17" s="6" t="s">
        <v>20</v>
      </c>
      <c r="B17">
        <f>VLOOKUP(A17,'1A1a dataviewer'!$A$5:$D$37,3,FALSE)</f>
        <v>89740.932217</v>
      </c>
      <c r="C17">
        <f>(VLOOKUP(A17,Heat!$A$122:$F$163,5,FALSE))/gwh_conv</f>
        <v>0</v>
      </c>
      <c r="D17">
        <f>(VLOOKUP(A17,Heat!$A$67:$F$108,5,FALSE))/gwh_conv</f>
        <v>0</v>
      </c>
      <c r="E17" s="18">
        <f>(VLOOKUP(A17,'All products'!$A$177:$F$218,5,FALSE))/(VLOOKUP(A17,'All products'!$A$67:$F$108,5,FALSE))</f>
        <v>0.43466112755280234</v>
      </c>
      <c r="F17" s="18">
        <f>IF(VLOOKUP(A17,'All products'!$A$12:$F$53,5,FALSE)&gt;0,IF(((VLOOKUP(A17,'All products'!$A$122:$F$163,5,FALSE))/(VLOOKUP(A17,'All products'!$A$12:$F$53,5,FALSE)))&lt;1,((VLOOKUP(A17,'All products'!$A$122:$F$163,5,FALSE))/(VLOOKUP(A17,'All products'!$A$12:$F$53,5,FALSE))),1),0)</f>
        <v>0</v>
      </c>
      <c r="G17" s="20">
        <f>((VLOOKUP(A17,Heat!$A$287:$F$328,5,FALSE))-(VLOOKUP(A17,Heat!$A$12:Heat!$F$53,5,FALSE))-(VLOOKUP(A17,Heat!$A$67:$F$108,5,FALSE)))/gwh_conv</f>
        <v>0</v>
      </c>
      <c r="H17">
        <f>(VLOOKUP(A17,Electricity!$A$177:$F$218,5,FALSE))+(((VLOOKUP(A17,Heat!$A$287:$F$328,5,FALSE))/gwh_conv))</f>
        <v>305053</v>
      </c>
      <c r="I17">
        <f>((VLOOKUP(A17,Electricity!$A$122:$F$163,5,FALSE))+(VLOOKUP(A17,Heat!$A$177:$F$218,5,FALSE)))/gwh_conv</f>
        <v>33718.055555555555</v>
      </c>
      <c r="J17">
        <f>(VLOOKUP(A17,Electricity!$A$177:$F$218,5,FALSE))</f>
        <v>305053</v>
      </c>
      <c r="K17">
        <f>((VLOOKUP(A17,Electricity!$A$122:$F$163,5,FALSE)))/gwh_conv</f>
        <v>33718.055555555555</v>
      </c>
      <c r="L17">
        <f t="shared" si="0"/>
        <v>0</v>
      </c>
      <c r="M17" s="21">
        <f t="shared" si="1"/>
        <v>0</v>
      </c>
      <c r="N17" s="21">
        <f t="shared" si="2"/>
        <v>1</v>
      </c>
      <c r="O17">
        <f t="shared" si="3"/>
        <v>0</v>
      </c>
      <c r="P17">
        <f t="shared" si="4"/>
        <v>89740932217000</v>
      </c>
      <c r="Q17">
        <f t="shared" si="5"/>
        <v>330.7385725813668</v>
      </c>
      <c r="R17" s="15" t="str">
        <f t="shared" si="6"/>
        <v>Spain</v>
      </c>
    </row>
    <row r="18" spans="1:18" ht="12.75">
      <c r="A18" s="6" t="s">
        <v>39</v>
      </c>
      <c r="B18">
        <f>VLOOKUP(A18,'1A1a dataviewer'!$A$5:$D$37,3,FALSE)</f>
        <v>18652.1319577837</v>
      </c>
      <c r="C18">
        <f>(VLOOKUP(A18,Heat!$A$122:$F$163,5,FALSE))/gwh_conv</f>
        <v>441.66666666666663</v>
      </c>
      <c r="D18">
        <f>(VLOOKUP(A18,Heat!$A$67:$F$108,5,FALSE))/gwh_conv</f>
        <v>0</v>
      </c>
      <c r="E18" s="18">
        <f>(VLOOKUP(A18,'All products'!$A$177:$F$218,5,FALSE))/(VLOOKUP(A18,'All products'!$A$67:$F$108,5,FALSE))</f>
        <v>0.4390996187755325</v>
      </c>
      <c r="F18" s="18">
        <f>IF(VLOOKUP(A18,'All products'!$A$12:$F$53,5,FALSE)&gt;0,IF(((VLOOKUP(A18,'All products'!$A$122:$F$163,5,FALSE))/(VLOOKUP(A18,'All products'!$A$12:$F$53,5,FALSE)))&lt;1,((VLOOKUP(A18,'All products'!$A$122:$F$163,5,FALSE))/(VLOOKUP(A18,'All products'!$A$12:$F$53,5,FALSE))),1),0)</f>
        <v>0</v>
      </c>
      <c r="G18" s="20">
        <f>((VLOOKUP(A18,Heat!$A$287:$F$328,5,FALSE))-(VLOOKUP(A18,Heat!$A$12:Heat!$F$53,5,FALSE))-(VLOOKUP(A18,Heat!$A$67:$F$108,5,FALSE)))/gwh_conv</f>
        <v>0</v>
      </c>
      <c r="H18">
        <f>(VLOOKUP(A18,Electricity!$A$177:$F$218,5,FALSE))+(((VLOOKUP(A18,Heat!$A$287:$F$328,5,FALSE))/gwh_conv))</f>
        <v>51178.555555555555</v>
      </c>
      <c r="I18">
        <f>((VLOOKUP(A18,Electricity!$A$122:$F$163,5,FALSE))+(VLOOKUP(A18,Heat!$A$177:$F$218,5,FALSE)))/gwh_conv</f>
        <v>9856.944444444443</v>
      </c>
      <c r="J18">
        <f>(VLOOKUP(A18,Electricity!$A$177:$F$218,5,FALSE))</f>
        <v>47253</v>
      </c>
      <c r="K18">
        <f>((VLOOKUP(A18,Electricity!$A$122:$F$163,5,FALSE)))/gwh_conv</f>
        <v>6373.055555555556</v>
      </c>
      <c r="L18">
        <f t="shared" si="0"/>
        <v>441.66666666666663</v>
      </c>
      <c r="M18" s="21">
        <f t="shared" si="1"/>
        <v>0.010688515156852279</v>
      </c>
      <c r="N18" s="21">
        <f t="shared" si="2"/>
        <v>0.9893114848431477</v>
      </c>
      <c r="O18">
        <f t="shared" si="3"/>
        <v>199363595138.37982</v>
      </c>
      <c r="P18">
        <f t="shared" si="4"/>
        <v>18452768362645.316</v>
      </c>
      <c r="Q18">
        <f t="shared" si="5"/>
        <v>451.38927201142604</v>
      </c>
      <c r="R18" s="15" t="str">
        <f t="shared" si="6"/>
        <v>Portugal</v>
      </c>
    </row>
    <row r="19" spans="1:18" ht="12.75">
      <c r="A19" s="6" t="s">
        <v>42</v>
      </c>
      <c r="B19">
        <f>VLOOKUP(A19,'1A1a dataviewer'!$A$5:$D$37,3,FALSE)</f>
        <v>5441.55998224186</v>
      </c>
      <c r="C19">
        <f>(VLOOKUP(A19,Heat!$A$122:$F$163,5,FALSE))/gwh_conv</f>
        <v>1855.8333333333333</v>
      </c>
      <c r="D19">
        <f>(VLOOKUP(A19,Heat!$A$67:$F$108,5,FALSE))/gwh_conv</f>
        <v>563.6111111111111</v>
      </c>
      <c r="E19" s="18">
        <f>(VLOOKUP(A19,'All products'!$A$177:$F$218,5,FALSE))/(VLOOKUP(A19,'All products'!$A$67:$F$108,5,FALSE))</f>
        <v>0.41697383390216153</v>
      </c>
      <c r="F19" s="18">
        <f>IF(VLOOKUP(A19,'All products'!$A$12:$F$53,5,FALSE)&gt;0,IF(((VLOOKUP(A19,'All products'!$A$122:$F$163,5,FALSE))/(VLOOKUP(A19,'All products'!$A$12:$F$53,5,FALSE)))&lt;1,((VLOOKUP(A19,'All products'!$A$122:$F$163,5,FALSE))/(VLOOKUP(A19,'All products'!$A$12:$F$53,5,FALSE))),1),0)</f>
        <v>0.8791161178509532</v>
      </c>
      <c r="G19" s="20">
        <f>((VLOOKUP(A19,Heat!$A$287:$F$328,5,FALSE))-(VLOOKUP(A19,Heat!$A$12:Heat!$F$53,5,FALSE))-(VLOOKUP(A19,Heat!$A$67:$F$108,5,FALSE)))/gwh_conv</f>
        <v>0</v>
      </c>
      <c r="H19">
        <f>(VLOOKUP(A19,Electricity!$A$177:$F$218,5,FALSE))+(((VLOOKUP(A19,Heat!$A$287:$F$328,5,FALSE))/gwh_conv))</f>
        <v>17503.833333333332</v>
      </c>
      <c r="I19">
        <f>((VLOOKUP(A19,Electricity!$A$122:$F$163,5,FALSE))+(VLOOKUP(A19,Heat!$A$177:$F$218,5,FALSE)))/gwh_conv</f>
        <v>343.3333333333333</v>
      </c>
      <c r="J19">
        <f>(VLOOKUP(A19,Electricity!$A$177:$F$218,5,FALSE))</f>
        <v>15043</v>
      </c>
      <c r="K19">
        <f>((VLOOKUP(A19,Electricity!$A$122:$F$163,5,FALSE)))/gwh_conv</f>
        <v>301.94444444444446</v>
      </c>
      <c r="L19">
        <f t="shared" si="0"/>
        <v>2123.159891290608</v>
      </c>
      <c r="M19" s="21">
        <f t="shared" si="1"/>
        <v>0.1237236613904378</v>
      </c>
      <c r="N19" s="21">
        <f t="shared" si="2"/>
        <v>0.8762763386095622</v>
      </c>
      <c r="O19">
        <f t="shared" si="3"/>
        <v>673249724678.6486</v>
      </c>
      <c r="P19">
        <f t="shared" si="4"/>
        <v>4768310257563.211</v>
      </c>
      <c r="Q19">
        <f t="shared" si="5"/>
        <v>323.47142574645187</v>
      </c>
      <c r="R19" s="15" t="str">
        <f t="shared" si="6"/>
        <v>Slovenia</v>
      </c>
    </row>
    <row r="20" spans="1:18" ht="12.75">
      <c r="A20" s="6" t="s">
        <v>35</v>
      </c>
      <c r="B20">
        <f>VLOOKUP(A20,'1A1a dataviewer'!$A$5:$D$37,3,FALSE)</f>
        <v>49773.0281360625</v>
      </c>
      <c r="C20">
        <f>(VLOOKUP(A20,Heat!$A$122:$F$163,5,FALSE))/gwh_conv</f>
        <v>28873.055555555555</v>
      </c>
      <c r="D20">
        <f>(VLOOKUP(A20,Heat!$A$67:$F$108,5,FALSE))/gwh_conv</f>
        <v>4191.666666666667</v>
      </c>
      <c r="E20" s="18">
        <f>(VLOOKUP(A20,'All products'!$A$177:$F$218,5,FALSE))/(VLOOKUP(A20,'All products'!$A$67:$F$108,5,FALSE))</f>
        <v>0.5891660340205452</v>
      </c>
      <c r="F20" s="18">
        <f>IF(VLOOKUP(A20,'All products'!$A$12:$F$53,5,FALSE)&gt;0,IF(((VLOOKUP(A20,'All products'!$A$122:$F$163,5,FALSE))/(VLOOKUP(A20,'All products'!$A$12:$F$53,5,FALSE)))&lt;1,((VLOOKUP(A20,'All products'!$A$122:$F$163,5,FALSE))/(VLOOKUP(A20,'All products'!$A$12:$F$53,5,FALSE))),1),0)</f>
        <v>0.8667432510051695</v>
      </c>
      <c r="G20" s="20">
        <f>((VLOOKUP(A20,Heat!$A$287:$F$328,5,FALSE))-(VLOOKUP(A20,Heat!$A$12:Heat!$F$53,5,FALSE))-(VLOOKUP(A20,Heat!$A$67:$F$108,5,FALSE)))/gwh_conv</f>
        <v>0</v>
      </c>
      <c r="H20">
        <f>(VLOOKUP(A20,Electricity!$A$177:$F$218,5,FALSE))+(((VLOOKUP(A20,Heat!$A$287:$F$328,5,FALSE))/gwh_conv))</f>
        <v>143927.61111111112</v>
      </c>
      <c r="I20">
        <f>((VLOOKUP(A20,Electricity!$A$122:$F$163,5,FALSE))+(VLOOKUP(A20,Heat!$A$177:$F$218,5,FALSE)))/gwh_conv</f>
        <v>21578.888888888887</v>
      </c>
      <c r="J20">
        <f>(VLOOKUP(A20,Electricity!$A$177:$F$218,5,FALSE))</f>
        <v>105164</v>
      </c>
      <c r="K20">
        <f>((VLOOKUP(A20,Electricity!$A$122:$F$163,5,FALSE)))/gwh_conv</f>
        <v>15880</v>
      </c>
      <c r="L20">
        <f t="shared" si="0"/>
        <v>31722.327958971582</v>
      </c>
      <c r="M20" s="21">
        <f t="shared" si="1"/>
        <v>0.25927796696850053</v>
      </c>
      <c r="N20" s="21">
        <f t="shared" si="2"/>
        <v>0.7407220330314994</v>
      </c>
      <c r="O20">
        <f t="shared" si="3"/>
        <v>12905049544984.26</v>
      </c>
      <c r="P20">
        <f t="shared" si="4"/>
        <v>36867978591078.234</v>
      </c>
      <c r="Q20">
        <f t="shared" si="5"/>
        <v>412.9292884624147</v>
      </c>
      <c r="R20" s="15" t="str">
        <f t="shared" si="6"/>
        <v>Netherlands</v>
      </c>
    </row>
    <row r="21" spans="1:18" ht="12.75">
      <c r="A21" s="6" t="s">
        <v>45</v>
      </c>
      <c r="B21">
        <f>VLOOKUP(A21,'1A1a dataviewer'!$A$5:$D$37,3,FALSE)</f>
        <v>158350.637106693</v>
      </c>
      <c r="C21">
        <f>(VLOOKUP(A21,Heat!$A$122:$F$163,5,FALSE))/gwh_conv</f>
        <v>0</v>
      </c>
      <c r="D21">
        <f>(VLOOKUP(A21,Heat!$A$67:$F$108,5,FALSE))/gwh_conv</f>
        <v>13906.666666666666</v>
      </c>
      <c r="E21" s="18">
        <f>(VLOOKUP(A21,'All products'!$A$177:$F$218,5,FALSE))/(VLOOKUP(A21,'All products'!$A$67:$F$108,5,FALSE))</f>
        <v>0.452844774900942</v>
      </c>
      <c r="F21" s="18">
        <f>IF(VLOOKUP(A21,'All products'!$A$12:$F$53,5,FALSE)&gt;0,IF(((VLOOKUP(A21,'All products'!$A$122:$F$163,5,FALSE))/(VLOOKUP(A21,'All products'!$A$12:$F$53,5,FALSE)))&lt;1,((VLOOKUP(A21,'All products'!$A$122:$F$163,5,FALSE))/(VLOOKUP(A21,'All products'!$A$12:$F$53,5,FALSE))),1),0)</f>
        <v>0.5767011093064243</v>
      </c>
      <c r="G21" s="20">
        <f>((VLOOKUP(A21,Heat!$A$287:$F$328,5,FALSE))-(VLOOKUP(A21,Heat!$A$12:Heat!$F$53,5,FALSE))-(VLOOKUP(A21,Heat!$A$67:$F$108,5,FALSE)))/gwh_conv</f>
        <v>0</v>
      </c>
      <c r="H21">
        <f>(VLOOKUP(A21,Electricity!$A$177:$F$218,5,FALSE))+(((VLOOKUP(A21,Heat!$A$287:$F$328,5,FALSE))/gwh_conv))</f>
        <v>410950.6666666667</v>
      </c>
      <c r="I21">
        <f>((VLOOKUP(A21,Electricity!$A$122:$F$163,5,FALSE))+(VLOOKUP(A21,Heat!$A$177:$F$218,5,FALSE)))/gwh_conv</f>
        <v>40886.11111111111</v>
      </c>
      <c r="J21">
        <f>(VLOOKUP(A21,Electricity!$A$177:$F$218,5,FALSE))</f>
        <v>397044</v>
      </c>
      <c r="K21">
        <f>((VLOOKUP(A21,Electricity!$A$122:$F$163,5,FALSE)))/gwh_conv</f>
        <v>40886.11111111111</v>
      </c>
      <c r="L21">
        <f t="shared" si="0"/>
        <v>10919.974376090466</v>
      </c>
      <c r="M21" s="21">
        <f t="shared" si="1"/>
        <v>0.02950829581529895</v>
      </c>
      <c r="N21" s="21">
        <f t="shared" si="2"/>
        <v>0.9704917041847011</v>
      </c>
      <c r="O21">
        <f t="shared" si="3"/>
        <v>4672657442285.352</v>
      </c>
      <c r="P21">
        <f t="shared" si="4"/>
        <v>153677979664407.66</v>
      </c>
      <c r="Q21">
        <f t="shared" si="5"/>
        <v>431.48834957394644</v>
      </c>
      <c r="R21" s="15" t="str">
        <f t="shared" si="6"/>
        <v>United Kingdom</v>
      </c>
    </row>
    <row r="22" spans="1:18" ht="12.75">
      <c r="A22" s="6" t="s">
        <v>89</v>
      </c>
      <c r="B22">
        <f>VLOOKUP(A22,'1A1a dataviewer'!$A$5:$D$37,3,FALSE)</f>
        <v>309536.319412663</v>
      </c>
      <c r="C22">
        <f>(VLOOKUP(A22,Heat!$A$122:$F$163,5,FALSE))/gwh_conv</f>
        <v>96692.77777777778</v>
      </c>
      <c r="D22">
        <f>(VLOOKUP(A22,Heat!$A$67:$F$108,5,FALSE))/gwh_conv</f>
        <v>33553.055555555555</v>
      </c>
      <c r="E22" s="18">
        <f>(VLOOKUP(A22,'All products'!$A$177:$F$218,5,FALSE))/(VLOOKUP(A22,'All products'!$A$67:$F$108,5,FALSE))</f>
        <v>0.46088848861180365</v>
      </c>
      <c r="F22" s="18">
        <f>IF(VLOOKUP(A22,'All products'!$A$12:$F$53,5,FALSE)&gt;0,IF(((VLOOKUP(A22,'All products'!$A$122:$F$163,5,FALSE))/(VLOOKUP(A22,'All products'!$A$12:$F$53,5,FALSE)))&lt;1,((VLOOKUP(A22,'All products'!$A$122:$F$163,5,FALSE))/(VLOOKUP(A22,'All products'!$A$12:$F$53,5,FALSE))),1),0)</f>
        <v>0.6245107720624351</v>
      </c>
      <c r="G22" s="20">
        <f>((VLOOKUP(A22,Heat!$A$287:$F$328,5,FALSE))-(VLOOKUP(A22,Heat!$A$12:Heat!$F$53,5,FALSE))-(VLOOKUP(A22,Heat!$A$67:$F$108,5,FALSE)))/gwh_conv</f>
        <v>0</v>
      </c>
      <c r="H22">
        <f>(VLOOKUP(A22,Electricity!$A$177:$F$218,5,FALSE))+(((VLOOKUP(A22,Heat!$A$287:$F$328,5,FALSE))/gwh_conv))</f>
        <v>767344.8333333334</v>
      </c>
      <c r="I22">
        <f>((VLOOKUP(A22,Electricity!$A$122:$F$163,5,FALSE))+(VLOOKUP(A22,Heat!$A$177:$F$218,5,FALSE)))/gwh_conv</f>
        <v>52861.944444444445</v>
      </c>
      <c r="J22">
        <f>(VLOOKUP(A22,Electricity!$A$177:$F$218,5,FALSE))</f>
        <v>637099</v>
      </c>
      <c r="K22">
        <f>((VLOOKUP(A22,Electricity!$A$122:$F$163,5,FALSE)))/gwh_conv</f>
        <v>52861.944444444445</v>
      </c>
      <c r="L22">
        <f t="shared" si="0"/>
        <v>121454.90800050812</v>
      </c>
      <c r="M22" s="21">
        <f t="shared" si="1"/>
        <v>0.16998994642039061</v>
      </c>
      <c r="N22" s="21">
        <f t="shared" si="2"/>
        <v>0.8300100535796093</v>
      </c>
      <c r="O22">
        <f t="shared" si="3"/>
        <v>52618062352123.49</v>
      </c>
      <c r="P22">
        <f t="shared" si="4"/>
        <v>256918257060539.47</v>
      </c>
      <c r="Q22">
        <f t="shared" si="5"/>
        <v>439.7500203341842</v>
      </c>
      <c r="R22" s="15" t="str">
        <f t="shared" si="6"/>
        <v>Germany </v>
      </c>
    </row>
    <row r="23" spans="1:18" ht="12.75">
      <c r="A23" s="6" t="s">
        <v>29</v>
      </c>
      <c r="B23">
        <f>VLOOKUP(A23,'1A1a dataviewer'!$A$5:$D$37,3,FALSE)</f>
        <v>15667.305</v>
      </c>
      <c r="C23">
        <f>(VLOOKUP(A23,Heat!$A$122:$F$163,5,FALSE))/gwh_conv</f>
        <v>0</v>
      </c>
      <c r="D23">
        <f>(VLOOKUP(A23,Heat!$A$67:$F$108,5,FALSE))/gwh_conv</f>
        <v>0</v>
      </c>
      <c r="E23" s="18">
        <f>(VLOOKUP(A23,'All products'!$A$177:$F$218,5,FALSE))/(VLOOKUP(A23,'All products'!$A$67:$F$108,5,FALSE))</f>
        <v>0.4509493586281754</v>
      </c>
      <c r="F23" s="18">
        <f>IF(VLOOKUP(A23,'All products'!$A$12:$F$53,5,FALSE)&gt;0,IF(((VLOOKUP(A23,'All products'!$A$122:$F$163,5,FALSE))/(VLOOKUP(A23,'All products'!$A$12:$F$53,5,FALSE)))&lt;1,((VLOOKUP(A23,'All products'!$A$122:$F$163,5,FALSE))/(VLOOKUP(A23,'All products'!$A$12:$F$53,5,FALSE))),1),0)</f>
        <v>0</v>
      </c>
      <c r="G23" s="20">
        <f>((VLOOKUP(A23,Heat!$A$287:$F$328,5,FALSE))-(VLOOKUP(A23,Heat!$A$12:Heat!$F$53,5,FALSE))-(VLOOKUP(A23,Heat!$A$67:$F$108,5,FALSE)))/gwh_conv</f>
        <v>0</v>
      </c>
      <c r="H23">
        <f>(VLOOKUP(A23,Electricity!$A$177:$F$218,5,FALSE))+(((VLOOKUP(A23,Heat!$A$287:$F$328,5,FALSE))/gwh_conv))</f>
        <v>28226</v>
      </c>
      <c r="I23">
        <f>((VLOOKUP(A23,Electricity!$A$122:$F$163,5,FALSE))+(VLOOKUP(A23,Heat!$A$177:$F$218,5,FALSE)))/gwh_conv</f>
        <v>1825</v>
      </c>
      <c r="J23">
        <f>(VLOOKUP(A23,Electricity!$A$177:$F$218,5,FALSE))</f>
        <v>28226</v>
      </c>
      <c r="K23">
        <f>((VLOOKUP(A23,Electricity!$A$122:$F$163,5,FALSE)))/gwh_conv</f>
        <v>1825</v>
      </c>
      <c r="L23">
        <f t="shared" si="0"/>
        <v>0</v>
      </c>
      <c r="M23" s="21">
        <f t="shared" si="1"/>
        <v>0</v>
      </c>
      <c r="N23" s="21">
        <f t="shared" si="2"/>
        <v>1</v>
      </c>
      <c r="O23">
        <f t="shared" si="3"/>
        <v>0</v>
      </c>
      <c r="P23">
        <f t="shared" si="4"/>
        <v>15667305000000</v>
      </c>
      <c r="Q23">
        <f t="shared" si="5"/>
        <v>593.4360440892391</v>
      </c>
      <c r="R23" s="15" t="str">
        <f t="shared" si="6"/>
        <v>Ireland</v>
      </c>
    </row>
    <row r="24" spans="1:18" ht="12.75">
      <c r="A24" s="6" t="s">
        <v>44</v>
      </c>
      <c r="B24">
        <f>VLOOKUP(A24,'1A1a dataviewer'!$A$5:$D$37,3,FALSE)</f>
        <v>72089.3799804195</v>
      </c>
      <c r="C24">
        <f>(VLOOKUP(A24,Heat!$A$122:$F$163,5,FALSE))/gwh_conv</f>
        <v>6641.388888888889</v>
      </c>
      <c r="D24">
        <f>(VLOOKUP(A24,Heat!$A$67:$F$108,5,FALSE))/gwh_conv</f>
        <v>0</v>
      </c>
      <c r="E24" s="18">
        <f>(VLOOKUP(A24,'All products'!$A$177:$F$218,5,FALSE))/(VLOOKUP(A24,'All products'!$A$67:$F$108,5,FALSE))</f>
        <v>0.46109612128481087</v>
      </c>
      <c r="F24" s="18">
        <f>IF(VLOOKUP(A24,'All products'!$A$12:$F$53,5,FALSE)&gt;0,IF(((VLOOKUP(A24,'All products'!$A$122:$F$163,5,FALSE))/(VLOOKUP(A24,'All products'!$A$12:$F$53,5,FALSE)))&lt;1,((VLOOKUP(A24,'All products'!$A$122:$F$163,5,FALSE))/(VLOOKUP(A24,'All products'!$A$12:$F$53,5,FALSE))),1),0)</f>
        <v>0</v>
      </c>
      <c r="G24" s="20">
        <f>((VLOOKUP(A24,Heat!$A$287:$F$328,5,FALSE))-(VLOOKUP(A24,Heat!$A$12:Heat!$F$53,5,FALSE))-(VLOOKUP(A24,Heat!$A$67:$F$108,5,FALSE)))/gwh_conv</f>
        <v>0</v>
      </c>
      <c r="H24">
        <f>(VLOOKUP(A24,Electricity!$A$177:$F$218,5,FALSE))+(((VLOOKUP(A24,Heat!$A$287:$F$328,5,FALSE))/gwh_conv))</f>
        <v>203561.33333333334</v>
      </c>
      <c r="I24">
        <f>((VLOOKUP(A24,Electricity!$A$122:$F$163,5,FALSE))+(VLOOKUP(A24,Heat!$A$177:$F$218,5,FALSE)))/gwh_conv</f>
        <v>19770.833333333332</v>
      </c>
      <c r="J24">
        <f>(VLOOKUP(A24,Electricity!$A$177:$F$218,5,FALSE))</f>
        <v>191558</v>
      </c>
      <c r="K24">
        <f>((VLOOKUP(A24,Electricity!$A$122:$F$163,5,FALSE)))/gwh_conv</f>
        <v>14408.888888888889</v>
      </c>
      <c r="L24">
        <f t="shared" si="0"/>
        <v>6641.388888888889</v>
      </c>
      <c r="M24" s="21">
        <f t="shared" si="1"/>
        <v>0.03613564840886166</v>
      </c>
      <c r="N24" s="21">
        <f t="shared" si="2"/>
        <v>0.9638643515911384</v>
      </c>
      <c r="O24">
        <f t="shared" si="3"/>
        <v>2604996488985.2695</v>
      </c>
      <c r="P24">
        <f t="shared" si="4"/>
        <v>69484383491434.23</v>
      </c>
      <c r="Q24">
        <f t="shared" si="5"/>
        <v>392.2367041844899</v>
      </c>
      <c r="R24" s="15" t="str">
        <f t="shared" si="6"/>
        <v>Turkey</v>
      </c>
    </row>
    <row r="25" spans="1:18" ht="12.75">
      <c r="A25" s="6" t="s">
        <v>13</v>
      </c>
      <c r="B25">
        <f>VLOOKUP(A25,'1A1a dataviewer'!$A$5:$D$37,3,FALSE)</f>
        <v>57125.5533849</v>
      </c>
      <c r="C25">
        <f>(VLOOKUP(A25,Heat!$A$122:$F$163,5,FALSE))/gwh_conv</f>
        <v>22886.11111111111</v>
      </c>
      <c r="D25">
        <f>(VLOOKUP(A25,Heat!$A$67:$F$108,5,FALSE))/gwh_conv</f>
        <v>7107.5</v>
      </c>
      <c r="E25" s="18">
        <f>(VLOOKUP(A25,'All products'!$A$177:$F$218,5,FALSE))/(VLOOKUP(A25,'All products'!$A$67:$F$108,5,FALSE))</f>
        <v>0.43067813506757935</v>
      </c>
      <c r="F25" s="18">
        <f>IF(VLOOKUP(A25,'All products'!$A$12:$F$53,5,FALSE)&gt;0,IF(((VLOOKUP(A25,'All products'!$A$122:$F$163,5,FALSE))/(VLOOKUP(A25,'All products'!$A$12:$F$53,5,FALSE)))&lt;1,((VLOOKUP(A25,'All products'!$A$122:$F$163,5,FALSE))/(VLOOKUP(A25,'All products'!$A$12:$F$53,5,FALSE))),1),0)</f>
        <v>0.8577318896450001</v>
      </c>
      <c r="G25" s="20">
        <f>((VLOOKUP(A25,Heat!$A$287:$F$328,5,FALSE))-(VLOOKUP(A25,Heat!$A$12:Heat!$F$53,5,FALSE))-(VLOOKUP(A25,Heat!$A$67:$F$108,5,FALSE)))/gwh_conv</f>
        <v>278.6111111111111</v>
      </c>
      <c r="H25">
        <f>(VLOOKUP(A25,Electricity!$A$177:$F$218,5,FALSE))+(((VLOOKUP(A25,Heat!$A$287:$F$328,5,FALSE))/gwh_conv))</f>
        <v>121913.55555555556</v>
      </c>
      <c r="I25">
        <f>((VLOOKUP(A25,Electricity!$A$122:$F$163,5,FALSE))+(VLOOKUP(A25,Heat!$A$177:$F$218,5,FALSE)))/gwh_conv</f>
        <v>12144.444444444443</v>
      </c>
      <c r="J25">
        <f>(VLOOKUP(A25,Electricity!$A$177:$F$218,5,FALSE))</f>
        <v>88198</v>
      </c>
      <c r="K25">
        <f>((VLOOKUP(A25,Electricity!$A$122:$F$163,5,FALSE)))/gwh_conv</f>
        <v>8701.111111111111</v>
      </c>
      <c r="L25">
        <f t="shared" si="0"/>
        <v>26733.488735333598</v>
      </c>
      <c r="M25" s="21">
        <f t="shared" si="1"/>
        <v>0.2435429098835762</v>
      </c>
      <c r="N25" s="21">
        <f t="shared" si="2"/>
        <v>0.7564570901164238</v>
      </c>
      <c r="O25">
        <f t="shared" si="3"/>
        <v>13912523500068.121</v>
      </c>
      <c r="P25">
        <f t="shared" si="4"/>
        <v>43213029884831.875</v>
      </c>
      <c r="Q25">
        <f t="shared" si="5"/>
        <v>543.5813965654658</v>
      </c>
      <c r="R25" s="15" t="str">
        <f t="shared" si="6"/>
        <v>Czech Republic</v>
      </c>
    </row>
    <row r="26" spans="1:18" ht="12.75">
      <c r="A26" s="6" t="s">
        <v>40</v>
      </c>
      <c r="B26">
        <f>VLOOKUP(A26,'1A1a dataviewer'!$A$5:$D$37,3,FALSE)</f>
        <v>46657.3840391927</v>
      </c>
      <c r="C26">
        <f>(VLOOKUP(A26,Heat!$A$122:$F$163,5,FALSE))/gwh_conv</f>
        <v>23807.777777777777</v>
      </c>
      <c r="D26">
        <f>(VLOOKUP(A26,Heat!$A$67:$F$108,5,FALSE))/gwh_conv</f>
        <v>5627.777777777777</v>
      </c>
      <c r="E26" s="18">
        <f>(VLOOKUP(A26,'All products'!$A$177:$F$218,5,FALSE))/(VLOOKUP(A26,'All products'!$A$67:$F$108,5,FALSE))</f>
        <v>0.48663328524144955</v>
      </c>
      <c r="F26" s="18">
        <f>IF(VLOOKUP(A26,'All products'!$A$12:$F$53,5,FALSE)&gt;0,IF(((VLOOKUP(A26,'All products'!$A$122:$F$163,5,FALSE))/(VLOOKUP(A26,'All products'!$A$12:$F$53,5,FALSE)))&lt;1,((VLOOKUP(A26,'All products'!$A$122:$F$163,5,FALSE))/(VLOOKUP(A26,'All products'!$A$12:$F$53,5,FALSE))),1),0)</f>
        <v>0.7527401077466097</v>
      </c>
      <c r="G26" s="20">
        <f>((VLOOKUP(A26,Heat!$A$287:$F$328,5,FALSE))-(VLOOKUP(A26,Heat!$A$12:Heat!$F$53,5,FALSE))-(VLOOKUP(A26,Heat!$A$67:$F$108,5,FALSE)))/gwh_conv</f>
        <v>0</v>
      </c>
      <c r="H26">
        <f>(VLOOKUP(A26,Electricity!$A$177:$F$218,5,FALSE))+(((VLOOKUP(A26,Heat!$A$287:$F$328,5,FALSE))/gwh_conv))</f>
        <v>92273.83333333333</v>
      </c>
      <c r="I26">
        <f>((VLOOKUP(A26,Electricity!$A$122:$F$163,5,FALSE))+(VLOOKUP(A26,Heat!$A$177:$F$218,5,FALSE)))/gwh_conv</f>
        <v>4035.277777777778</v>
      </c>
      <c r="J26">
        <f>(VLOOKUP(A26,Electricity!$A$177:$F$218,5,FALSE))</f>
        <v>61673</v>
      </c>
      <c r="K26">
        <f>((VLOOKUP(A26,Electricity!$A$122:$F$163,5,FALSE)))/gwh_conv</f>
        <v>2870</v>
      </c>
      <c r="L26">
        <f t="shared" si="0"/>
        <v>27446.037464520447</v>
      </c>
      <c r="M26" s="21">
        <f t="shared" si="1"/>
        <v>0.31104359417171384</v>
      </c>
      <c r="N26" s="21">
        <f t="shared" si="2"/>
        <v>0.6889564058282862</v>
      </c>
      <c r="O26">
        <f t="shared" si="3"/>
        <v>14512480426200.453</v>
      </c>
      <c r="P26">
        <f t="shared" si="4"/>
        <v>32144903612992.25</v>
      </c>
      <c r="Q26">
        <f t="shared" si="5"/>
        <v>546.6541437170255</v>
      </c>
      <c r="R26" s="15" t="str">
        <f t="shared" si="6"/>
        <v>Romania</v>
      </c>
    </row>
    <row r="27" spans="1:18" ht="12.75">
      <c r="A27" s="6" t="s">
        <v>10</v>
      </c>
      <c r="B27">
        <f>VLOOKUP(A27,'1A1a dataviewer'!$A$5:$D$37,3,FALSE)</f>
        <v>24881.39436</v>
      </c>
      <c r="C27">
        <f>(VLOOKUP(A27,Heat!$A$122:$F$163,5,FALSE))/gwh_conv</f>
        <v>11672.777777777777</v>
      </c>
      <c r="D27">
        <f>(VLOOKUP(A27,Heat!$A$67:$F$108,5,FALSE))/gwh_conv</f>
        <v>2529.1666666666665</v>
      </c>
      <c r="E27" s="18">
        <f>(VLOOKUP(A27,'All products'!$A$177:$F$218,5,FALSE))/(VLOOKUP(A27,'All products'!$A$67:$F$108,5,FALSE))</f>
        <v>0.42792183021804225</v>
      </c>
      <c r="F27" s="18">
        <f>IF(VLOOKUP(A27,'All products'!$A$12:$F$53,5,FALSE)&gt;0,IF(((VLOOKUP(A27,'All products'!$A$122:$F$163,5,FALSE))/(VLOOKUP(A27,'All products'!$A$12:$F$53,5,FALSE)))&lt;1,((VLOOKUP(A27,'All products'!$A$122:$F$163,5,FALSE))/(VLOOKUP(A27,'All products'!$A$12:$F$53,5,FALSE))),1),0)</f>
        <v>0.9498226580429794</v>
      </c>
      <c r="G27" s="20">
        <f>((VLOOKUP(A27,Heat!$A$287:$F$328,5,FALSE))-(VLOOKUP(A27,Heat!$A$12:Heat!$F$53,5,FALSE))-(VLOOKUP(A27,Heat!$A$67:$F$108,5,FALSE)))/gwh_conv</f>
        <v>237.22222222222223</v>
      </c>
      <c r="H27">
        <f>(VLOOKUP(A27,Electricity!$A$177:$F$218,5,FALSE))+(((VLOOKUP(A27,Heat!$A$287:$F$328,5,FALSE))/gwh_conv))</f>
        <v>57793.11111111111</v>
      </c>
      <c r="I27">
        <f>((VLOOKUP(A27,Electricity!$A$122:$F$163,5,FALSE))+(VLOOKUP(A27,Heat!$A$177:$F$218,5,FALSE)))/gwh_conv</f>
        <v>1890.8333333333333</v>
      </c>
      <c r="J27">
        <f>(VLOOKUP(A27,Electricity!$A$177:$F$218,5,FALSE))</f>
        <v>43297</v>
      </c>
      <c r="K27">
        <f>((VLOOKUP(A27,Electricity!$A$122:$F$163,5,FALSE)))/gwh_conv</f>
        <v>1833.888888888889</v>
      </c>
      <c r="L27">
        <f t="shared" si="0"/>
        <v>13049.460740130598</v>
      </c>
      <c r="M27" s="21">
        <f t="shared" si="1"/>
        <v>0.2334334352529372</v>
      </c>
      <c r="N27" s="21">
        <f t="shared" si="2"/>
        <v>0.7665665647470628</v>
      </c>
      <c r="O27">
        <f t="shared" si="3"/>
        <v>5808149359337.856</v>
      </c>
      <c r="P27">
        <f t="shared" si="4"/>
        <v>19073245000662.14</v>
      </c>
      <c r="Q27">
        <f t="shared" si="5"/>
        <v>460.0051585504633</v>
      </c>
      <c r="R27" s="15" t="str">
        <f t="shared" si="6"/>
        <v>Bulgaria</v>
      </c>
    </row>
    <row r="28" spans="1:18" ht="12.75">
      <c r="A28" s="6" t="s">
        <v>12</v>
      </c>
      <c r="B28">
        <f>VLOOKUP(A28,'1A1a dataviewer'!$A$5:$D$37,3,FALSE)</f>
        <v>2903.765560648</v>
      </c>
      <c r="C28">
        <f>(VLOOKUP(A28,Heat!$A$122:$F$163,5,FALSE))/gwh_conv</f>
        <v>0</v>
      </c>
      <c r="D28">
        <f>(VLOOKUP(A28,Heat!$A$67:$F$108,5,FALSE))/gwh_conv</f>
        <v>0</v>
      </c>
      <c r="E28" s="18">
        <f>(VLOOKUP(A28,'All products'!$A$177:$F$218,5,FALSE))/(VLOOKUP(A28,'All products'!$A$67:$F$108,5,FALSE))</f>
        <v>0.36165568196129466</v>
      </c>
      <c r="F28" s="18">
        <f>IF(VLOOKUP(A28,'All products'!$A$12:$F$53,5,FALSE)&gt;0,IF(((VLOOKUP(A28,'All products'!$A$122:$F$163,5,FALSE))/(VLOOKUP(A28,'All products'!$A$12:$F$53,5,FALSE)))&lt;1,((VLOOKUP(A28,'All products'!$A$122:$F$163,5,FALSE))/(VLOOKUP(A28,'All products'!$A$12:$F$53,5,FALSE))),1),0)</f>
        <v>0</v>
      </c>
      <c r="G28" s="20">
        <f>((VLOOKUP(A28,Heat!$A$287:$F$328,5,FALSE))-(VLOOKUP(A28,Heat!$A$12:Heat!$F$53,5,FALSE))-(VLOOKUP(A28,Heat!$A$67:$F$108,5,FALSE)))/gwh_conv</f>
        <v>0</v>
      </c>
      <c r="H28">
        <f>(VLOOKUP(A28,Electricity!$A$177:$F$218,5,FALSE))+(((VLOOKUP(A28,Heat!$A$287:$F$328,5,FALSE))/gwh_conv))</f>
        <v>4871</v>
      </c>
      <c r="I28">
        <f>((VLOOKUP(A28,Electricity!$A$122:$F$163,5,FALSE))+(VLOOKUP(A28,Heat!$A$177:$F$218,5,FALSE)))/gwh_conv</f>
        <v>83.05555555555556</v>
      </c>
      <c r="J28">
        <f>(VLOOKUP(A28,Electricity!$A$177:$F$218,5,FALSE))</f>
        <v>4871</v>
      </c>
      <c r="K28">
        <f>((VLOOKUP(A28,Electricity!$A$122:$F$163,5,FALSE)))/gwh_conv</f>
        <v>83.05555555555556</v>
      </c>
      <c r="L28">
        <f t="shared" si="0"/>
        <v>0</v>
      </c>
      <c r="M28" s="21">
        <f t="shared" si="1"/>
        <v>0</v>
      </c>
      <c r="N28" s="21">
        <f t="shared" si="2"/>
        <v>1</v>
      </c>
      <c r="O28">
        <f t="shared" si="3"/>
        <v>0</v>
      </c>
      <c r="P28">
        <f t="shared" si="4"/>
        <v>2903765560648</v>
      </c>
      <c r="Q28">
        <f t="shared" si="5"/>
        <v>606.4743637569358</v>
      </c>
      <c r="R28" s="15" t="str">
        <f t="shared" si="6"/>
        <v>Cyprus</v>
      </c>
    </row>
    <row r="29" spans="1:18" ht="12.75">
      <c r="A29" s="6" t="s">
        <v>38</v>
      </c>
      <c r="B29">
        <f>VLOOKUP(A29,'1A1a dataviewer'!$A$5:$D$37,3,FALSE)</f>
        <v>165455.191423455</v>
      </c>
      <c r="C29">
        <f>(VLOOKUP(A29,Heat!$A$122:$F$163,5,FALSE))/gwh_conv</f>
        <v>49781.666666666664</v>
      </c>
      <c r="D29">
        <f>(VLOOKUP(A29,Heat!$A$67:$F$108,5,FALSE))/gwh_conv</f>
        <v>31039.166666666664</v>
      </c>
      <c r="E29" s="18">
        <f>(VLOOKUP(A29,'All products'!$A$177:$F$218,5,FALSE))/(VLOOKUP(A29,'All products'!$A$67:$F$108,5,FALSE))</f>
        <v>0.46029748365106854</v>
      </c>
      <c r="F29" s="18">
        <f>IF(VLOOKUP(A29,'All products'!$A$12:$F$53,5,FALSE)&gt;0,IF(((VLOOKUP(A29,'All products'!$A$122:$F$163,5,FALSE))/(VLOOKUP(A29,'All products'!$A$12:$F$53,5,FALSE)))&lt;1,((VLOOKUP(A29,'All products'!$A$122:$F$163,5,FALSE))/(VLOOKUP(A29,'All products'!$A$12:$F$53,5,FALSE))),1),0)</f>
        <v>0.8471131394608363</v>
      </c>
      <c r="G29" s="20">
        <f>((VLOOKUP(A29,Heat!$A$287:$F$328,5,FALSE))-(VLOOKUP(A29,Heat!$A$12:Heat!$F$53,5,FALSE))-(VLOOKUP(A29,Heat!$A$67:$F$108,5,FALSE)))/gwh_conv</f>
        <v>0</v>
      </c>
      <c r="H29">
        <f>(VLOOKUP(A29,Electricity!$A$177:$F$218,5,FALSE))+(((VLOOKUP(A29,Heat!$A$287:$F$328,5,FALSE))/gwh_conv))</f>
        <v>248518.55555555556</v>
      </c>
      <c r="I29">
        <f>((VLOOKUP(A29,Electricity!$A$122:$F$163,5,FALSE))+(VLOOKUP(A29,Heat!$A$177:$F$218,5,FALSE)))/gwh_conv</f>
        <v>16212.777777777777</v>
      </c>
      <c r="J29">
        <f>(VLOOKUP(A29,Electricity!$A$177:$F$218,5,FALSE))</f>
        <v>159348</v>
      </c>
      <c r="K29">
        <f>((VLOOKUP(A29,Electricity!$A$122:$F$163,5,FALSE)))/gwh_conv</f>
        <v>7863.055555555556</v>
      </c>
      <c r="L29">
        <f t="shared" si="0"/>
        <v>66647.47790929032</v>
      </c>
      <c r="M29" s="21">
        <f t="shared" si="1"/>
        <v>0.2868954812352746</v>
      </c>
      <c r="N29" s="21">
        <f t="shared" si="2"/>
        <v>0.7131045187647254</v>
      </c>
      <c r="O29">
        <f t="shared" si="3"/>
        <v>47468346766306.59</v>
      </c>
      <c r="P29">
        <f t="shared" si="4"/>
        <v>117986844657148.38</v>
      </c>
      <c r="Q29">
        <f t="shared" si="5"/>
        <v>778.8684551448534</v>
      </c>
      <c r="R29" s="15" t="str">
        <f t="shared" si="6"/>
        <v>Poland</v>
      </c>
    </row>
    <row r="30" spans="1:18" ht="12.75">
      <c r="A30" s="6" t="s">
        <v>26</v>
      </c>
      <c r="B30">
        <f>VLOOKUP(A30,'1A1a dataviewer'!$A$5:$D$37,3,FALSE)</f>
        <v>51452.7788114928</v>
      </c>
      <c r="C30">
        <f>(VLOOKUP(A30,Heat!$A$122:$F$163,5,FALSE))/gwh_conv</f>
        <v>482.5</v>
      </c>
      <c r="D30">
        <f>(VLOOKUP(A30,Heat!$A$67:$F$108,5,FALSE))/gwh_conv</f>
        <v>0</v>
      </c>
      <c r="E30" s="18">
        <f>(VLOOKUP(A30,'All products'!$A$177:$F$218,5,FALSE))/(VLOOKUP(A30,'All products'!$A$67:$F$108,5,FALSE))</f>
        <v>0.3868666391917932</v>
      </c>
      <c r="F30" s="18">
        <f>IF(VLOOKUP(A30,'All products'!$A$12:$F$53,5,FALSE)&gt;0,IF(((VLOOKUP(A30,'All products'!$A$122:$F$163,5,FALSE))/(VLOOKUP(A30,'All products'!$A$12:$F$53,5,FALSE)))&lt;1,((VLOOKUP(A30,'All products'!$A$122:$F$163,5,FALSE))/(VLOOKUP(A30,'All products'!$A$12:$F$53,5,FALSE))),1),0)</f>
        <v>0</v>
      </c>
      <c r="G30" s="20">
        <f>((VLOOKUP(A30,Heat!$A$287:$F$328,5,FALSE))-(VLOOKUP(A30,Heat!$A$12:Heat!$F$53,5,FALSE))-(VLOOKUP(A30,Heat!$A$67:$F$108,5,FALSE)))/gwh_conv</f>
        <v>0</v>
      </c>
      <c r="H30">
        <f>(VLOOKUP(A30,Electricity!$A$177:$F$218,5,FALSE))+(((VLOOKUP(A30,Heat!$A$287:$F$328,5,FALSE))/gwh_conv))</f>
        <v>63979.5</v>
      </c>
      <c r="I30">
        <f>((VLOOKUP(A30,Electricity!$A$122:$F$163,5,FALSE))+(VLOOKUP(A30,Heat!$A$177:$F$218,5,FALSE)))/gwh_conv</f>
        <v>898.8888888888889</v>
      </c>
      <c r="J30">
        <f>(VLOOKUP(A30,Electricity!$A$177:$F$218,5,FALSE))</f>
        <v>63497</v>
      </c>
      <c r="K30">
        <f>((VLOOKUP(A30,Electricity!$A$122:$F$163,5,FALSE)))/gwh_conv</f>
        <v>898.8888888888889</v>
      </c>
      <c r="L30">
        <f t="shared" si="0"/>
        <v>482.5</v>
      </c>
      <c r="M30" s="21">
        <f t="shared" si="1"/>
        <v>0.007648943019117514</v>
      </c>
      <c r="N30" s="21">
        <f t="shared" si="2"/>
        <v>0.9923510569808824</v>
      </c>
      <c r="O30">
        <f t="shared" si="3"/>
        <v>393559373304.36536</v>
      </c>
      <c r="P30">
        <f t="shared" si="4"/>
        <v>51059219438188.43</v>
      </c>
      <c r="Q30">
        <f t="shared" si="5"/>
        <v>815.6670949313271</v>
      </c>
      <c r="R30" s="15" t="str">
        <f t="shared" si="6"/>
        <v>Greece</v>
      </c>
    </row>
    <row r="31" spans="1:18" ht="12.75">
      <c r="A31" s="6" t="s">
        <v>19</v>
      </c>
      <c r="B31">
        <f>VLOOKUP(A31,'1A1a dataviewer'!$A$5:$D$37,3,FALSE)</f>
        <v>11628.475</v>
      </c>
      <c r="C31">
        <f>(VLOOKUP(A31,Heat!$A$122:$F$163,5,FALSE))/gwh_conv</f>
        <v>2136.111111111111</v>
      </c>
      <c r="D31">
        <f>(VLOOKUP(A31,Heat!$A$67:$F$108,5,FALSE))/gwh_conv</f>
        <v>5041.666666666667</v>
      </c>
      <c r="E31" s="18">
        <f>(VLOOKUP(A31,'All products'!$A$177:$F$218,5,FALSE))/(VLOOKUP(A31,'All products'!$A$67:$F$108,5,FALSE))</f>
        <v>0.4200270097848331</v>
      </c>
      <c r="F31" s="18">
        <f>IF(VLOOKUP(A31,'All products'!$A$12:$F$53,5,FALSE)&gt;0,IF(((VLOOKUP(A31,'All products'!$A$122:$F$163,5,FALSE))/(VLOOKUP(A31,'All products'!$A$12:$F$53,5,FALSE)))&lt;1,((VLOOKUP(A31,'All products'!$A$122:$F$163,5,FALSE))/(VLOOKUP(A31,'All products'!$A$12:$F$53,5,FALSE))),1),0)</f>
        <v>0.8842874543239951</v>
      </c>
      <c r="G31" s="20">
        <f>((VLOOKUP(A31,Heat!$A$287:$F$328,5,FALSE))-(VLOOKUP(A31,Heat!$A$12:Heat!$F$53,5,FALSE))-(VLOOKUP(A31,Heat!$A$67:$F$108,5,FALSE)))/gwh_conv</f>
        <v>0</v>
      </c>
      <c r="H31">
        <f>(VLOOKUP(A31,Electricity!$A$177:$F$218,5,FALSE))+(((VLOOKUP(A31,Heat!$A$287:$F$328,5,FALSE))/gwh_conv))</f>
        <v>19423.88888888889</v>
      </c>
      <c r="I31">
        <f>((VLOOKUP(A31,Electricity!$A$122:$F$163,5,FALSE))+(VLOOKUP(A31,Heat!$A$177:$F$218,5,FALSE)))/gwh_conv</f>
        <v>188.05555555555554</v>
      </c>
      <c r="J31">
        <f>(VLOOKUP(A31,Electricity!$A$177:$F$218,5,FALSE))</f>
        <v>12190</v>
      </c>
      <c r="K31">
        <f>((VLOOKUP(A31,Electricity!$A$122:$F$163,5,FALSE)))/gwh_conv</f>
        <v>131.94444444444443</v>
      </c>
      <c r="L31">
        <f t="shared" si="0"/>
        <v>4530.8484377315835</v>
      </c>
      <c r="M31" s="21">
        <f t="shared" si="1"/>
        <v>0.2355420926776372</v>
      </c>
      <c r="N31" s="21">
        <f t="shared" si="2"/>
        <v>0.7644579073223627</v>
      </c>
      <c r="O31">
        <f t="shared" si="3"/>
        <v>2738995336149.5874</v>
      </c>
      <c r="P31">
        <f t="shared" si="4"/>
        <v>8889479663850.412</v>
      </c>
      <c r="Q31">
        <f t="shared" si="5"/>
        <v>737.2233129042706</v>
      </c>
      <c r="R31" s="15" t="str">
        <f t="shared" si="6"/>
        <v>Estonia</v>
      </c>
    </row>
    <row r="32" spans="1:18" ht="12.75">
      <c r="A32" s="6" t="s">
        <v>34</v>
      </c>
      <c r="B32">
        <f>VLOOKUP(A32,'1A1a dataviewer'!$A$5:$D$37,3,FALSE)</f>
        <v>1664.95752637038</v>
      </c>
      <c r="C32">
        <f>(VLOOKUP(A32,Heat!$A$122:$F$163,5,FALSE))/gwh_conv</f>
        <v>0</v>
      </c>
      <c r="D32">
        <f>(VLOOKUP(A32,Heat!$A$67:$F$108,5,FALSE))/gwh_conv</f>
        <v>0</v>
      </c>
      <c r="E32" s="18">
        <f>(VLOOKUP(A32,'All products'!$A$177:$F$218,5,FALSE))/(VLOOKUP(A32,'All products'!$A$67:$F$108,5,FALSE))</f>
        <v>0.29755219582433406</v>
      </c>
      <c r="F32" s="18">
        <f>IF(VLOOKUP(A32,'All products'!$A$12:$F$53,5,FALSE)&gt;0,IF(((VLOOKUP(A32,'All products'!$A$122:$F$163,5,FALSE))/(VLOOKUP(A32,'All products'!$A$12:$F$53,5,FALSE)))&lt;1,((VLOOKUP(A32,'All products'!$A$122:$F$163,5,FALSE))/(VLOOKUP(A32,'All products'!$A$12:$F$53,5,FALSE))),1),0)</f>
        <v>0</v>
      </c>
      <c r="G32" s="20">
        <f>((VLOOKUP(A32,Heat!$A$287:$F$328,5,FALSE))-(VLOOKUP(A32,Heat!$A$12:Heat!$F$53,5,FALSE))-(VLOOKUP(A32,Heat!$A$67:$F$108,5,FALSE)))/gwh_conv</f>
        <v>0</v>
      </c>
      <c r="H32">
        <f>(VLOOKUP(A32,Electricity!$A$177:$F$218,5,FALSE))+(((VLOOKUP(A32,Heat!$A$287:$F$328,5,FALSE))/gwh_conv))</f>
        <v>2296</v>
      </c>
      <c r="I32">
        <f>((VLOOKUP(A32,Electricity!$A$122:$F$163,5,FALSE))+(VLOOKUP(A32,Heat!$A$177:$F$218,5,FALSE)))/gwh_conv</f>
        <v>0</v>
      </c>
      <c r="J32">
        <f>(VLOOKUP(A32,Electricity!$A$177:$F$218,5,FALSE))</f>
        <v>2296</v>
      </c>
      <c r="K32">
        <f>((VLOOKUP(A32,Electricity!$A$122:$F$163,5,FALSE)))/gwh_conv</f>
        <v>0</v>
      </c>
      <c r="L32">
        <f t="shared" si="0"/>
        <v>0</v>
      </c>
      <c r="M32" s="21">
        <f t="shared" si="1"/>
        <v>0</v>
      </c>
      <c r="N32" s="21">
        <f t="shared" si="2"/>
        <v>1</v>
      </c>
      <c r="O32">
        <f t="shared" si="3"/>
        <v>0</v>
      </c>
      <c r="P32">
        <f t="shared" si="4"/>
        <v>1664957526370.3801</v>
      </c>
      <c r="Q32">
        <f t="shared" si="5"/>
        <v>725.15571706027</v>
      </c>
      <c r="R32" s="15" t="str">
        <f t="shared" si="6"/>
        <v>Malta</v>
      </c>
    </row>
    <row r="33" spans="1:18" ht="12.75">
      <c r="A33" s="22" t="s">
        <v>23</v>
      </c>
      <c r="B33">
        <f>VLOOKUP(A33,'1A1a dataviewer'!$A$5:$D$37,3,FALSE)</f>
        <v>1286107.94276134</v>
      </c>
      <c r="C33">
        <f>(VLOOKUP(A33,Heat!$A$122:$F$163,5,FALSE))/gwh_conv</f>
        <v>386970.55555555556</v>
      </c>
      <c r="D33">
        <f>(VLOOKUP(A33,Heat!$A$67:$F$108,5,FALSE))/gwh_conv</f>
        <v>168193.88888888888</v>
      </c>
      <c r="E33" s="18">
        <f>(VLOOKUP(A33,'All products'!$A$177:$F$218,5,FALSE))/(VLOOKUP(A33,'All products'!$A$67:$F$108,5,FALSE))</f>
        <v>0.4727691273788941</v>
      </c>
      <c r="F33" s="18">
        <f>IF(VLOOKUP(A33,'All products'!$A$12:$F$53,5,FALSE)&gt;0,IF(((VLOOKUP(A33,'All products'!$A$122:$F$163,5,FALSE))/(VLOOKUP(A33,'All products'!$A$12:$F$53,5,FALSE)))&lt;1,((VLOOKUP(A33,'All products'!$A$122:$F$163,5,FALSE))/(VLOOKUP(A33,'All products'!$A$12:$F$53,5,FALSE))),1),0)</f>
        <v>0.7950915572947101</v>
      </c>
      <c r="G33" s="20">
        <f>((VLOOKUP(A33,Heat!$A$287:$F$328,5,FALSE))-(VLOOKUP(A33,Heat!$A$12:Heat!$F$53,5,FALSE))-(VLOOKUP(A33,Heat!$A$67:$F$108,5,FALSE)))/gwh_conv</f>
        <v>1766.388888888889</v>
      </c>
      <c r="H33">
        <f>(VLOOKUP(A33,Electricity!$A$177:$F$218,5,FALSE))+(((VLOOKUP(A33,Heat!$A$287:$F$328,5,FALSE))/gwh_conv))</f>
        <v>4001073.388888889</v>
      </c>
      <c r="I33">
        <f>((VLOOKUP(A33,Electricity!$A$122:$F$163,5,FALSE))+(VLOOKUP(A33,Heat!$A$177:$F$218,5,FALSE)))/gwh_conv</f>
        <v>324386.6666666667</v>
      </c>
      <c r="J33">
        <f>(VLOOKUP(A33,Electricity!$A$177:$F$218,5,FALSE))</f>
        <v>3367692</v>
      </c>
      <c r="K33">
        <f>((VLOOKUP(A33,Electricity!$A$122:$F$163,5,FALSE)))/gwh_conv</f>
        <v>247936.1111111111</v>
      </c>
      <c r="L33">
        <f t="shared" si="0"/>
        <v>488746.6569749333</v>
      </c>
      <c r="M33" s="21">
        <f>L33/(H33-I33)</f>
        <v>0.13293127587425518</v>
      </c>
      <c r="N33" s="21">
        <f t="shared" si="2"/>
        <v>0.8670687241257449</v>
      </c>
      <c r="O33">
        <f t="shared" si="3"/>
        <v>170963969743278.5</v>
      </c>
      <c r="P33">
        <f t="shared" si="4"/>
        <v>1115143973018061.6</v>
      </c>
      <c r="Q33">
        <f t="shared" si="5"/>
        <v>357.4459069024223</v>
      </c>
      <c r="R33" s="15" t="str">
        <f t="shared" si="6"/>
        <v>European Union </v>
      </c>
    </row>
    <row r="34" spans="5:6" ht="12.75">
      <c r="E34" s="18"/>
      <c r="F34" s="17"/>
    </row>
    <row r="35" spans="1:6" ht="12.75">
      <c r="A35" s="36">
        <v>3.6</v>
      </c>
      <c r="E35" s="18"/>
      <c r="F35" s="17" t="s">
        <v>108</v>
      </c>
    </row>
    <row r="36" spans="5:6" ht="12.75">
      <c r="E36" s="18"/>
      <c r="F36" s="17" t="s">
        <v>109</v>
      </c>
    </row>
    <row r="37" spans="5:6" ht="12.75">
      <c r="E37" s="18"/>
      <c r="F37" s="17"/>
    </row>
    <row r="38" spans="1:6" ht="12.75">
      <c r="A38" s="15" t="s">
        <v>74</v>
      </c>
      <c r="E38" s="18"/>
      <c r="F38" s="17"/>
    </row>
    <row r="39" spans="1:12" ht="14.25">
      <c r="A39" s="7"/>
      <c r="B39" s="7"/>
      <c r="C39" s="16"/>
      <c r="D39" s="16"/>
      <c r="E39" s="7"/>
      <c r="F39" s="7"/>
      <c r="G39" s="7"/>
      <c r="H39" s="7"/>
      <c r="I39" s="7"/>
      <c r="J39" s="7"/>
      <c r="K39" s="7"/>
      <c r="L39" s="7" t="s">
        <v>46</v>
      </c>
    </row>
    <row r="40" spans="1:12" ht="14.25">
      <c r="A40" s="7" t="s">
        <v>47</v>
      </c>
      <c r="B40" s="12" t="s">
        <v>75</v>
      </c>
      <c r="C40" s="16"/>
      <c r="D40" s="16"/>
      <c r="E40" s="7"/>
      <c r="F40" s="7"/>
      <c r="G40" s="7"/>
      <c r="H40" s="7"/>
      <c r="I40" s="7"/>
      <c r="J40" s="7"/>
      <c r="K40" s="7"/>
      <c r="L40" s="7" t="s">
        <v>48</v>
      </c>
    </row>
    <row r="41" spans="1:12" ht="14.25">
      <c r="A41" s="7" t="s">
        <v>49</v>
      </c>
      <c r="B41" s="8" t="s">
        <v>176</v>
      </c>
      <c r="C41" s="16"/>
      <c r="D41" s="16"/>
      <c r="E41" s="7"/>
      <c r="F41" s="7"/>
      <c r="G41" s="7"/>
      <c r="H41" s="7"/>
      <c r="I41" s="7"/>
      <c r="J41" s="7"/>
      <c r="K41" s="7"/>
      <c r="L41" s="7" t="s">
        <v>50</v>
      </c>
    </row>
    <row r="42" spans="1:12" ht="14.25">
      <c r="A42" s="7" t="s">
        <v>51</v>
      </c>
      <c r="B42" s="8" t="s">
        <v>177</v>
      </c>
      <c r="C42" s="16"/>
      <c r="D42" s="16"/>
      <c r="E42" s="7"/>
      <c r="F42" s="7"/>
      <c r="G42" s="7"/>
      <c r="H42" s="7"/>
      <c r="I42" s="7"/>
      <c r="J42" s="7"/>
      <c r="K42" s="7"/>
      <c r="L42" s="7" t="s">
        <v>52</v>
      </c>
    </row>
    <row r="43" spans="1:12" ht="14.25">
      <c r="A43" s="7" t="s">
        <v>53</v>
      </c>
      <c r="B43" s="9" t="s">
        <v>76</v>
      </c>
      <c r="C43" s="16"/>
      <c r="D43" s="16"/>
      <c r="E43" s="10"/>
      <c r="F43" s="10"/>
      <c r="G43" s="10"/>
      <c r="H43" s="10"/>
      <c r="I43" s="10"/>
      <c r="J43" s="10"/>
      <c r="K43" s="10"/>
      <c r="L43" s="10" t="s">
        <v>54</v>
      </c>
    </row>
    <row r="44" spans="1:12" ht="14.25">
      <c r="A44" s="7" t="s">
        <v>55</v>
      </c>
      <c r="B44" s="9" t="s">
        <v>77</v>
      </c>
      <c r="C44" s="16"/>
      <c r="D44" s="16"/>
      <c r="E44" s="10"/>
      <c r="F44" s="10"/>
      <c r="G44" s="10"/>
      <c r="H44" s="10"/>
      <c r="I44" s="10"/>
      <c r="J44" s="10"/>
      <c r="K44" s="10"/>
      <c r="L44" s="10" t="s">
        <v>56</v>
      </c>
    </row>
    <row r="45" spans="1:12" ht="14.25">
      <c r="A45" s="7" t="s">
        <v>57</v>
      </c>
      <c r="B45" s="8" t="s">
        <v>178</v>
      </c>
      <c r="C45" s="16"/>
      <c r="D45" s="16"/>
      <c r="E45" s="7"/>
      <c r="F45" s="7"/>
      <c r="G45" s="7"/>
      <c r="H45" s="7"/>
      <c r="I45" s="7"/>
      <c r="J45" s="7"/>
      <c r="K45" s="7"/>
      <c r="L45" s="7" t="s">
        <v>58</v>
      </c>
    </row>
    <row r="46" spans="1:12" ht="14.25">
      <c r="A46" s="7" t="s">
        <v>59</v>
      </c>
      <c r="B46" s="8" t="s">
        <v>179</v>
      </c>
      <c r="C46" s="16"/>
      <c r="D46" s="16"/>
      <c r="E46" s="7"/>
      <c r="F46" s="7"/>
      <c r="G46" s="7"/>
      <c r="H46" s="7"/>
      <c r="I46" s="7"/>
      <c r="J46" s="7"/>
      <c r="K46" s="7"/>
      <c r="L46" s="7" t="s">
        <v>60</v>
      </c>
    </row>
    <row r="47" spans="1:12" ht="14.25">
      <c r="A47" s="7" t="s">
        <v>61</v>
      </c>
      <c r="B47" s="8" t="s">
        <v>180</v>
      </c>
      <c r="C47" s="16"/>
      <c r="D47" s="16"/>
      <c r="E47" s="7"/>
      <c r="F47" s="7"/>
      <c r="G47" s="7"/>
      <c r="H47" s="7"/>
      <c r="I47" s="7"/>
      <c r="J47" s="7"/>
      <c r="K47" s="7"/>
      <c r="L47" s="7" t="s">
        <v>62</v>
      </c>
    </row>
    <row r="48" spans="1:12" ht="14.25">
      <c r="A48" s="7" t="s">
        <v>63</v>
      </c>
      <c r="B48" s="8" t="s">
        <v>78</v>
      </c>
      <c r="C48" s="16"/>
      <c r="D48" s="16"/>
      <c r="E48" s="7"/>
      <c r="F48" s="7"/>
      <c r="G48" s="7"/>
      <c r="H48" s="7"/>
      <c r="I48" s="7"/>
      <c r="J48" s="7"/>
      <c r="K48" s="7"/>
      <c r="L48" s="7" t="s">
        <v>64</v>
      </c>
    </row>
    <row r="49" spans="1:12" ht="14.25">
      <c r="A49" s="7" t="s">
        <v>65</v>
      </c>
      <c r="B49" s="8" t="s">
        <v>79</v>
      </c>
      <c r="C49" s="16"/>
      <c r="D49" s="16"/>
      <c r="E49" s="7"/>
      <c r="F49" s="7"/>
      <c r="G49" s="7"/>
      <c r="H49" s="7"/>
      <c r="I49" s="7"/>
      <c r="J49" s="7"/>
      <c r="K49" s="7"/>
      <c r="L49" s="7" t="s">
        <v>66</v>
      </c>
    </row>
    <row r="50" spans="1:12" ht="14.25">
      <c r="A50" s="7"/>
      <c r="B50" s="7"/>
      <c r="C50" s="16"/>
      <c r="D50" s="16"/>
      <c r="E50" s="7"/>
      <c r="F50" s="7"/>
      <c r="G50" s="7"/>
      <c r="H50" s="7"/>
      <c r="I50" s="7"/>
      <c r="J50" s="7"/>
      <c r="K50" s="7"/>
      <c r="L50" s="7"/>
    </row>
    <row r="51" spans="1:12" ht="14.25">
      <c r="A51" s="7" t="s">
        <v>67</v>
      </c>
      <c r="B51" s="8" t="s">
        <v>80</v>
      </c>
      <c r="C51" s="16"/>
      <c r="D51" s="16"/>
      <c r="E51" s="7"/>
      <c r="F51" s="7"/>
      <c r="G51" s="7"/>
      <c r="H51" s="7"/>
      <c r="I51" s="7"/>
      <c r="J51" s="7"/>
      <c r="K51" s="7"/>
      <c r="L51" s="7"/>
    </row>
    <row r="52" spans="1:12" ht="14.25">
      <c r="A52" s="7" t="s">
        <v>68</v>
      </c>
      <c r="B52" s="11" t="s">
        <v>81</v>
      </c>
      <c r="C52" s="16"/>
      <c r="D52" s="16"/>
      <c r="E52" s="7"/>
      <c r="F52" s="7"/>
      <c r="G52" s="7"/>
      <c r="H52" s="7"/>
      <c r="I52" s="7"/>
      <c r="J52" s="7"/>
      <c r="K52" s="7"/>
      <c r="L52" s="7"/>
    </row>
    <row r="53" spans="1:12" ht="14.25">
      <c r="A53" s="7" t="s">
        <v>69</v>
      </c>
      <c r="B53" s="11" t="s">
        <v>82</v>
      </c>
      <c r="C53" s="16"/>
      <c r="D53" s="16"/>
      <c r="E53" s="7"/>
      <c r="F53" s="7"/>
      <c r="G53" s="7"/>
      <c r="H53" s="7"/>
      <c r="I53" s="7"/>
      <c r="J53" s="7"/>
      <c r="K53" s="7"/>
      <c r="L53" s="7"/>
    </row>
    <row r="54" spans="1:12" ht="14.25">
      <c r="A54" s="7"/>
      <c r="B54" s="7"/>
      <c r="C54" s="16"/>
      <c r="D54" s="16"/>
      <c r="E54" s="7"/>
      <c r="F54" s="7"/>
      <c r="G54" s="7"/>
      <c r="H54" s="7"/>
      <c r="I54" s="7"/>
      <c r="J54" s="7"/>
      <c r="K54" s="7"/>
      <c r="L54" s="7"/>
    </row>
    <row r="55" spans="1:12" ht="14.25">
      <c r="A55" s="7" t="s">
        <v>70</v>
      </c>
      <c r="B55" s="7" t="s">
        <v>83</v>
      </c>
      <c r="C55" s="16"/>
      <c r="D55" s="16"/>
      <c r="E55" s="7"/>
      <c r="F55" s="7"/>
      <c r="G55" s="7"/>
      <c r="H55" s="7"/>
      <c r="I55" s="7"/>
      <c r="J55" s="7"/>
      <c r="K55" s="7"/>
      <c r="L55" s="7"/>
    </row>
    <row r="56" spans="1:12" ht="14.25">
      <c r="A56" s="7" t="s">
        <v>71</v>
      </c>
      <c r="B56" s="7" t="s">
        <v>84</v>
      </c>
      <c r="C56" s="16"/>
      <c r="D56" s="16"/>
      <c r="E56" s="7"/>
      <c r="F56" s="7"/>
      <c r="G56" s="7"/>
      <c r="H56" s="7"/>
      <c r="I56" s="7"/>
      <c r="J56" s="7"/>
      <c r="K56" s="7"/>
      <c r="L56" s="7"/>
    </row>
    <row r="57" spans="1:12" ht="14.25">
      <c r="A57" s="7"/>
      <c r="B57" s="7"/>
      <c r="C57" s="16"/>
      <c r="D57" s="16"/>
      <c r="E57" s="7"/>
      <c r="F57" s="7"/>
      <c r="G57" s="7"/>
      <c r="H57" s="7"/>
      <c r="I57" s="7"/>
      <c r="J57" s="7"/>
      <c r="K57" s="7"/>
      <c r="L57" s="7"/>
    </row>
    <row r="58" spans="1:12" ht="14.25">
      <c r="A58" s="7" t="s">
        <v>72</v>
      </c>
      <c r="B58" s="12" t="s">
        <v>181</v>
      </c>
      <c r="C58" s="16"/>
      <c r="D58" s="16"/>
      <c r="E58" s="7"/>
      <c r="F58" s="7"/>
      <c r="G58" s="7"/>
      <c r="H58" s="7"/>
      <c r="I58" s="7"/>
      <c r="J58" s="7"/>
      <c r="K58" s="7"/>
      <c r="L58" s="7"/>
    </row>
    <row r="59" spans="1:12" ht="14.25">
      <c r="A59" s="7"/>
      <c r="B59" s="7"/>
      <c r="C59" s="16"/>
      <c r="D59" s="16"/>
      <c r="E59" s="7"/>
      <c r="F59" s="7"/>
      <c r="G59" s="7"/>
      <c r="H59" s="7"/>
      <c r="I59" s="7"/>
      <c r="J59" s="7"/>
      <c r="K59" s="7"/>
      <c r="L59" s="7"/>
    </row>
    <row r="60" spans="1:12" ht="14.25">
      <c r="A60" s="13" t="s">
        <v>73</v>
      </c>
      <c r="B60" s="13"/>
      <c r="C60" s="16"/>
      <c r="D60" s="16"/>
      <c r="E60" s="7"/>
      <c r="F60" s="7"/>
      <c r="G60" s="7"/>
      <c r="H60" s="7"/>
      <c r="I60" s="7"/>
      <c r="J60" s="7"/>
      <c r="K60" s="7"/>
      <c r="L60" s="7"/>
    </row>
    <row r="61" spans="1:12" ht="14.25">
      <c r="A61" s="13" t="s">
        <v>72</v>
      </c>
      <c r="B61" s="14">
        <v>392.2521433108338</v>
      </c>
      <c r="C61" s="16"/>
      <c r="D61" s="16"/>
      <c r="E61" s="10"/>
      <c r="F61" s="10"/>
      <c r="G61" s="10"/>
      <c r="H61" s="10"/>
      <c r="I61" s="10"/>
      <c r="J61" s="10"/>
      <c r="K61" s="10"/>
      <c r="L61" s="7"/>
    </row>
    <row r="62" spans="1:12" ht="14.25">
      <c r="A62" s="13" t="s">
        <v>138</v>
      </c>
      <c r="B62" s="7"/>
      <c r="C62" s="16"/>
      <c r="D62" s="16"/>
      <c r="E62" s="10"/>
      <c r="F62" s="10"/>
      <c r="G62" s="10"/>
      <c r="H62" s="10"/>
      <c r="I62" s="10"/>
      <c r="J62" s="10"/>
      <c r="K62" s="10"/>
      <c r="L62" s="7"/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 Wagner</cp:lastModifiedBy>
  <dcterms:created xsi:type="dcterms:W3CDTF">2009-10-14T09:45:45Z</dcterms:created>
  <dcterms:modified xsi:type="dcterms:W3CDTF">2010-09-14T15:39:15Z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