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11.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6.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21.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4865" windowHeight="8505" tabRatio="820" firstSheet="7" activeTab="13"/>
  </bookViews>
  <sheets>
    <sheet name="readme" sheetId="1" r:id="rId1"/>
    <sheet name="data_in_factsheet" sheetId="2" r:id="rId2"/>
    <sheet name="Chart_km_infra_indexed_AC-13" sheetId="3" r:id="rId3"/>
    <sheet name="data_km_infra_indexed_AC-13" sheetId="4" r:id="rId4"/>
    <sheet name="Chart_road_dens_ordered_surface" sheetId="5" r:id="rId5"/>
    <sheet name="Chart_Rail_dens_ordered_surface" sheetId="6" r:id="rId6"/>
    <sheet name="Graph_use_f" sheetId="7" r:id="rId7"/>
    <sheet name="Graph_use_p" sheetId="8" r:id="rId8"/>
    <sheet name="data_level of use" sheetId="9" r:id="rId9"/>
    <sheet name="data_dens_ordered_surface" sheetId="10" r:id="rId10"/>
    <sheet name="manip_road" sheetId="11" r:id="rId11"/>
    <sheet name="basedata_road" sheetId="12" r:id="rId12"/>
    <sheet name="comm_prov_state" sheetId="13" r:id="rId13"/>
    <sheet name="manip_rail" sheetId="14" r:id="rId14"/>
    <sheet name="basedata_rail" sheetId="15" r:id="rId15"/>
    <sheet name="manip_waterways" sheetId="16" r:id="rId16"/>
    <sheet name="basedata_waterways" sheetId="17" r:id="rId17"/>
    <sheet name="manip_oilpipelines" sheetId="18" r:id="rId18"/>
    <sheet name="basedata_oilpipelines" sheetId="19" r:id="rId19"/>
    <sheet name="surface_area" sheetId="20" r:id="rId20"/>
    <sheet name="manip_EU-infra" sheetId="21" r:id="rId21"/>
    <sheet name="basedata_EU-infra" sheetId="22" r:id="rId22"/>
    <sheet name="manip_train km EU+AC" sheetId="23" r:id="rId23"/>
    <sheet name="basedata_train-km all C" sheetId="24" r:id="rId24"/>
    <sheet name="train-km&amp;km" sheetId="25" r:id="rId25"/>
  </sheets>
  <externalReferences>
    <externalReference r:id="rId28"/>
    <externalReference r:id="rId29"/>
    <externalReference r:id="rId30"/>
    <externalReference r:id="rId31"/>
    <externalReference r:id="rId32"/>
    <externalReference r:id="rId33"/>
    <externalReference r:id="rId34"/>
    <externalReference r:id="rId35"/>
  </externalReferences>
  <definedNames/>
  <calcPr fullCalcOnLoad="1"/>
</workbook>
</file>

<file path=xl/comments10.xml><?xml version="1.0" encoding="utf-8"?>
<comments xmlns="http://schemas.openxmlformats.org/spreadsheetml/2006/main">
  <authors>
    <author>Wouter de Ridder</author>
  </authors>
  <commentList>
    <comment ref="B8" authorId="0">
      <text>
        <r>
          <rPr>
            <b/>
            <sz val="8"/>
            <rFont val="Tahoma"/>
            <family val="0"/>
          </rPr>
          <t xml:space="preserve">Based on AC-11, since there are no railway lines in Cyprus and Malta
</t>
        </r>
      </text>
    </comment>
    <comment ref="B18" authorId="0">
      <text>
        <r>
          <rPr>
            <b/>
            <sz val="8"/>
            <rFont val="Tahoma"/>
            <family val="0"/>
          </rPr>
          <t xml:space="preserve">Based on AC-11, since there are no railway lines in Cyprus and Malta
</t>
        </r>
      </text>
    </comment>
    <comment ref="K37" authorId="0">
      <text>
        <r>
          <rPr>
            <b/>
            <sz val="8"/>
            <rFont val="Tahoma"/>
            <family val="0"/>
          </rPr>
          <t xml:space="preserve">Based on AC-11, since there are no railway lines in Cyprus and Malta
</t>
        </r>
      </text>
    </comment>
    <comment ref="L37" authorId="0">
      <text>
        <r>
          <rPr>
            <b/>
            <sz val="8"/>
            <rFont val="Tahoma"/>
            <family val="0"/>
          </rPr>
          <t xml:space="preserve">Based on AC-11, since there are no railway lines in Cyprus and Malta
</t>
        </r>
      </text>
    </comment>
    <comment ref="J37" authorId="0">
      <text>
        <r>
          <rPr>
            <b/>
            <sz val="8"/>
            <rFont val="Tahoma"/>
            <family val="0"/>
          </rPr>
          <t xml:space="preserve">Based on AC-11, since there are no railway lines in Cyprus and Malta
</t>
        </r>
      </text>
    </comment>
  </commentList>
</comments>
</file>

<file path=xl/comments11.xml><?xml version="1.0" encoding="utf-8"?>
<comments xmlns="http://schemas.openxmlformats.org/spreadsheetml/2006/main">
  <authors>
    <author>Wouter</author>
    <author>mi55955</author>
  </authors>
  <commentList>
    <comment ref="H8" authorId="0">
      <text>
        <r>
          <rPr>
            <b/>
            <sz val="8"/>
            <rFont val="Tahoma"/>
            <family val="0"/>
          </rPr>
          <t>Original value:
64693</t>
        </r>
      </text>
    </comment>
    <comment ref="H9" authorId="0">
      <text>
        <r>
          <rPr>
            <b/>
            <sz val="8"/>
            <rFont val="Tahoma"/>
            <family val="0"/>
          </rPr>
          <t>Original value:
54992</t>
        </r>
      </text>
    </comment>
    <comment ref="F13" authorId="1">
      <text>
        <r>
          <rPr>
            <b/>
            <sz val="8"/>
            <rFont val="Tahoma"/>
            <family val="0"/>
          </rPr>
          <t>Original value:
49480</t>
        </r>
      </text>
    </comment>
    <comment ref="O13" authorId="0">
      <text>
        <r>
          <rPr>
            <b/>
            <sz val="8"/>
            <rFont val="Tahoma"/>
            <family val="0"/>
          </rPr>
          <t>Original value:
379059</t>
        </r>
      </text>
    </comment>
    <comment ref="D23" authorId="0">
      <text>
        <r>
          <rPr>
            <b/>
            <sz val="8"/>
            <rFont val="Tahoma"/>
            <family val="0"/>
          </rPr>
          <t>1990-1999</t>
        </r>
      </text>
    </comment>
    <comment ref="E23" authorId="0">
      <text>
        <r>
          <rPr>
            <b/>
            <sz val="8"/>
            <rFont val="Tahoma"/>
            <family val="0"/>
          </rPr>
          <t>1993-1999</t>
        </r>
      </text>
    </comment>
    <comment ref="H23" authorId="1">
      <text>
        <r>
          <rPr>
            <b/>
            <sz val="8"/>
            <rFont val="Tahoma"/>
            <family val="0"/>
          </rPr>
          <t>1990-1999</t>
        </r>
      </text>
    </comment>
    <comment ref="I23" authorId="1">
      <text>
        <r>
          <rPr>
            <b/>
            <sz val="8"/>
            <rFont val="Tahoma"/>
            <family val="0"/>
          </rPr>
          <t>1990-1999</t>
        </r>
      </text>
    </comment>
    <comment ref="J23" authorId="1">
      <text>
        <r>
          <rPr>
            <b/>
            <sz val="8"/>
            <rFont val="Tahoma"/>
            <family val="0"/>
          </rPr>
          <t>1990-1999</t>
        </r>
      </text>
    </comment>
    <comment ref="K23" authorId="1">
      <text>
        <r>
          <rPr>
            <b/>
            <sz val="8"/>
            <rFont val="Tahoma"/>
            <family val="0"/>
          </rPr>
          <t>1990-1999</t>
        </r>
      </text>
    </comment>
    <comment ref="L23" authorId="1">
      <text>
        <r>
          <rPr>
            <b/>
            <sz val="8"/>
            <rFont val="Tahoma"/>
            <family val="0"/>
          </rPr>
          <t>1990-1999</t>
        </r>
      </text>
    </comment>
    <comment ref="M23" authorId="1">
      <text>
        <r>
          <rPr>
            <b/>
            <sz val="8"/>
            <rFont val="Tahoma"/>
            <family val="0"/>
          </rPr>
          <t>1990-1999</t>
        </r>
      </text>
    </comment>
    <comment ref="N23" authorId="1">
      <text>
        <r>
          <rPr>
            <b/>
            <sz val="8"/>
            <rFont val="Tahoma"/>
            <family val="0"/>
          </rPr>
          <t>1990-1999</t>
        </r>
      </text>
    </comment>
    <comment ref="F14" authorId="1">
      <text>
        <r>
          <rPr>
            <b/>
            <sz val="8"/>
            <rFont val="Tahoma"/>
            <family val="0"/>
          </rPr>
          <t>Original value:
49480</t>
        </r>
      </text>
    </comment>
  </commentList>
</comments>
</file>

<file path=xl/comments16.xml><?xml version="1.0" encoding="utf-8"?>
<comments xmlns="http://schemas.openxmlformats.org/spreadsheetml/2006/main">
  <authors>
    <author>Wouter</author>
  </authors>
  <commentList>
    <comment ref="E5" authorId="0">
      <text>
        <r>
          <rPr>
            <b/>
            <sz val="8"/>
            <rFont val="Tahoma"/>
            <family val="0"/>
          </rPr>
          <t>Assumed to be equal to 1993</t>
        </r>
      </text>
    </comment>
    <comment ref="M5" authorId="0">
      <text>
        <r>
          <rPr>
            <b/>
            <sz val="8"/>
            <rFont val="Tahoma"/>
            <family val="0"/>
          </rPr>
          <t>Assumed to be equal to 1993</t>
        </r>
      </text>
    </comment>
    <comment ref="E6" authorId="0">
      <text>
        <r>
          <rPr>
            <b/>
            <sz val="8"/>
            <rFont val="Tahoma"/>
            <family val="0"/>
          </rPr>
          <t>Assumed to be equal to 1993</t>
        </r>
      </text>
    </comment>
    <comment ref="M6" authorId="0">
      <text>
        <r>
          <rPr>
            <b/>
            <sz val="8"/>
            <rFont val="Tahoma"/>
            <family val="0"/>
          </rPr>
          <t>Assumed to be equal to 1993</t>
        </r>
      </text>
    </comment>
    <comment ref="E7" authorId="0">
      <text>
        <r>
          <rPr>
            <b/>
            <sz val="8"/>
            <rFont val="Tahoma"/>
            <family val="0"/>
          </rPr>
          <t>Assumed to be equal to 1993</t>
        </r>
      </text>
    </comment>
    <comment ref="M7" authorId="0">
      <text>
        <r>
          <rPr>
            <b/>
            <sz val="8"/>
            <rFont val="Tahoma"/>
            <family val="0"/>
          </rPr>
          <t>Assumed to be equal to 1993</t>
        </r>
      </text>
    </comment>
  </commentList>
</comments>
</file>

<file path=xl/comments21.xml><?xml version="1.0" encoding="utf-8"?>
<comments xmlns="http://schemas.openxmlformats.org/spreadsheetml/2006/main">
  <authors>
    <author>Wouter de Ridder</author>
  </authors>
  <commentList>
    <comment ref="B14" authorId="0">
      <text>
        <r>
          <rPr>
            <b/>
            <sz val="8"/>
            <rFont val="Tahoma"/>
            <family val="0"/>
          </rPr>
          <t>EU-15 calculated with Greece 1994, Italy 1997, the Netherlands 1997, Portugal 1997</t>
        </r>
      </text>
    </comment>
    <comment ref="I14" authorId="0">
      <text>
        <r>
          <rPr>
            <b/>
            <sz val="8"/>
            <rFont val="Tahoma"/>
            <family val="0"/>
          </rPr>
          <t>Value of 1994</t>
        </r>
      </text>
    </comment>
    <comment ref="K14" authorId="0">
      <text>
        <r>
          <rPr>
            <b/>
            <sz val="8"/>
            <rFont val="Tahoma"/>
            <family val="0"/>
          </rPr>
          <t>Value 1997</t>
        </r>
      </text>
    </comment>
    <comment ref="M14" authorId="0">
      <text>
        <r>
          <rPr>
            <b/>
            <sz val="8"/>
            <rFont val="Tahoma"/>
            <family val="0"/>
          </rPr>
          <t>Value 1997</t>
        </r>
      </text>
    </comment>
    <comment ref="N14" authorId="0">
      <text>
        <r>
          <rPr>
            <b/>
            <sz val="8"/>
            <rFont val="Tahoma"/>
            <family val="0"/>
          </rPr>
          <t>Value 1997</t>
        </r>
      </text>
    </comment>
    <comment ref="C6" authorId="0">
      <text>
        <r>
          <rPr>
            <b/>
            <sz val="8"/>
            <rFont val="Tahoma"/>
            <family val="0"/>
          </rPr>
          <t xml:space="preserve">Value of 1993
</t>
        </r>
      </text>
    </comment>
    <comment ref="H6" authorId="0">
      <text>
        <r>
          <rPr>
            <b/>
            <sz val="8"/>
            <rFont val="Tahoma"/>
            <family val="0"/>
          </rPr>
          <t xml:space="preserve">Value of 1991
</t>
        </r>
      </text>
    </comment>
    <comment ref="M46" authorId="0">
      <text>
        <r>
          <rPr>
            <b/>
            <sz val="8"/>
            <rFont val="Tahoma"/>
            <family val="0"/>
          </rPr>
          <t xml:space="preserve">Value from 1997 (same as Eurostat, 2002)
</t>
        </r>
      </text>
    </comment>
    <comment ref="M47" authorId="0">
      <text>
        <r>
          <rPr>
            <b/>
            <sz val="8"/>
            <rFont val="Tahoma"/>
            <family val="0"/>
          </rPr>
          <t xml:space="preserve">Value from 1997 (same as Eurostat, 2002)
</t>
        </r>
      </text>
    </comment>
    <comment ref="H21" authorId="0">
      <text>
        <r>
          <rPr>
            <b/>
            <sz val="8"/>
            <rFont val="Tahoma"/>
            <family val="0"/>
          </rPr>
          <t xml:space="preserve">Value on 1991
</t>
        </r>
      </text>
    </comment>
    <comment ref="Q21" authorId="0">
      <text>
        <r>
          <rPr>
            <b/>
            <sz val="8"/>
            <rFont val="Tahoma"/>
            <family val="0"/>
          </rPr>
          <t xml:space="preserve">Value on 1991
</t>
        </r>
      </text>
    </comment>
  </commentList>
</comments>
</file>

<file path=xl/sharedStrings.xml><?xml version="1.0" encoding="utf-8"?>
<sst xmlns="http://schemas.openxmlformats.org/spreadsheetml/2006/main" count="1565" uniqueCount="322">
  <si>
    <t>Bulgaria</t>
  </si>
  <si>
    <t>Czech Republic</t>
  </si>
  <si>
    <t>Estonia</t>
  </si>
  <si>
    <t>Hungary</t>
  </si>
  <si>
    <t>Latvia</t>
  </si>
  <si>
    <t>Lithuania</t>
  </si>
  <si>
    <t>Poland</t>
  </si>
  <si>
    <t>Romania</t>
  </si>
  <si>
    <t>Slovak Republic</t>
  </si>
  <si>
    <t>Slovenia</t>
  </si>
  <si>
    <t>Czech Rep.</t>
  </si>
  <si>
    <t>Slovak Rep.</t>
  </si>
  <si>
    <t>Source: UNECE</t>
  </si>
  <si>
    <t>Rail</t>
  </si>
  <si>
    <t>Road</t>
  </si>
  <si>
    <t>Average annual increase 1990-1999</t>
  </si>
  <si>
    <t>Increase 1990-1999</t>
  </si>
  <si>
    <t>Remarks:</t>
  </si>
  <si>
    <t>Files:</t>
  </si>
  <si>
    <t>Sources:</t>
  </si>
  <si>
    <t xml:space="preserve">Source: UNECE </t>
  </si>
  <si>
    <t>Capacity of infrastructure networks</t>
  </si>
  <si>
    <t>Rail Turkey 94-96 is strange: form 84 000 in 1993 to more than 100 000 in 1995, back to 8 600 in 1997</t>
  </si>
  <si>
    <t>Waterway Latvia shows sudden decrease from 347 km to 106 km between 1992 and 1993</t>
  </si>
  <si>
    <t>Additional data at the and of worksheet for comparison and consitency check, from ECMT and Eurostat</t>
  </si>
  <si>
    <t>Data from UNECE copied from Book2_unece_sceia.xls as received from UNECE</t>
  </si>
  <si>
    <t>All other data received from GRID/W</t>
  </si>
  <si>
    <t>(km)</t>
  </si>
  <si>
    <t>AC-13</t>
  </si>
  <si>
    <t>Cyprus</t>
  </si>
  <si>
    <t>Malta</t>
  </si>
  <si>
    <t>Turkey</t>
  </si>
  <si>
    <t>Lenght of railways</t>
  </si>
  <si>
    <t>Lenght of inland waterways</t>
  </si>
  <si>
    <t>Lenght of pipelines</t>
  </si>
  <si>
    <t>km per 1000 km2</t>
  </si>
  <si>
    <t>Roads Latvia: 1992 60, 1993 64 and 1994 54 thousand km: this looks very unreliable</t>
  </si>
  <si>
    <t>http://www.unece.org/stats/trend_h.htm</t>
  </si>
  <si>
    <t>Lenght of rail per square kilometer</t>
  </si>
  <si>
    <t>Lenght of inland waterways per square kilometer</t>
  </si>
  <si>
    <t>Lenght of oil pipelines per square kilometer</t>
  </si>
  <si>
    <t>Lenght of roads per inhabitant</t>
  </si>
  <si>
    <t>km per 1000 inhabitants</t>
  </si>
  <si>
    <t>Lenght of oil pipelines per inhabitant</t>
  </si>
  <si>
    <t>Lenght of inland waterways per inhabitant</t>
  </si>
  <si>
    <t>Lenght of railways per inhabitant</t>
  </si>
  <si>
    <t>Czech Republic 1995 road seems too low (1994 125, 1995 121 and 1996 126 thousand km)</t>
  </si>
  <si>
    <t>Turkey 1998: too low compared with previous years</t>
  </si>
  <si>
    <t>Surface area</t>
  </si>
  <si>
    <t>Austria</t>
  </si>
  <si>
    <t>Belgium</t>
  </si>
  <si>
    <t>Denmark</t>
  </si>
  <si>
    <t>Finland</t>
  </si>
  <si>
    <t>France</t>
  </si>
  <si>
    <t>Germany</t>
  </si>
  <si>
    <t>Greece</t>
  </si>
  <si>
    <t>Ireland</t>
  </si>
  <si>
    <t>Italy</t>
  </si>
  <si>
    <t>Luxembourg</t>
  </si>
  <si>
    <t>Netherlands</t>
  </si>
  <si>
    <t>Portugal</t>
  </si>
  <si>
    <t>Spain</t>
  </si>
  <si>
    <t>Sweden</t>
  </si>
  <si>
    <t>United Kingdom</t>
  </si>
  <si>
    <t>Note:</t>
  </si>
  <si>
    <t>Road Greece 1994</t>
  </si>
  <si>
    <t>Road Italy, Netherlands, Portugal 1997</t>
  </si>
  <si>
    <t>Absolute increase</t>
  </si>
  <si>
    <t>EU-15</t>
  </si>
  <si>
    <t>Notes</t>
  </si>
  <si>
    <t>Bulgaria 1990 assumed to be equal to 1991</t>
  </si>
  <si>
    <t>Turkey 1994-1996 calculated by fitting a straight line between the known values</t>
  </si>
  <si>
    <t>Inland waterways</t>
  </si>
  <si>
    <t>Average annual increase 1994-1998</t>
  </si>
  <si>
    <t>Increase 1993-1998</t>
  </si>
  <si>
    <t>Malta 1993-1996 calculated by fitting a straight line between the known values</t>
  </si>
  <si>
    <t>Absolute increase 1994-1997</t>
  </si>
  <si>
    <t>UNECE</t>
  </si>
  <si>
    <t>Source</t>
  </si>
  <si>
    <t>Increase 1990-1998 (unless specified otherwise by comment)</t>
  </si>
  <si>
    <t>Road length in EU-15</t>
  </si>
  <si>
    <t xml:space="preserve">UNECE </t>
  </si>
  <si>
    <t>File</t>
  </si>
  <si>
    <t>Book2western_unece_sceia.xls</t>
  </si>
  <si>
    <t>Absolute increase 1990-1999</t>
  </si>
  <si>
    <t>Rail length in EU-15</t>
  </si>
  <si>
    <t xml:space="preserve">... </t>
  </si>
  <si>
    <t>Infrastructure length EU</t>
  </si>
  <si>
    <t>Surface</t>
  </si>
  <si>
    <t>Per surface area</t>
  </si>
  <si>
    <t>Per capita</t>
  </si>
  <si>
    <t>Railways</t>
  </si>
  <si>
    <t xml:space="preserve">Latvia 1994 (64693 km) and 1995 (54992 km) are considered unreliable when compared with 1992 (60192 km) and 1995 (56196 km): these values are therefore replaced with calculated values (straight line between 1992 and 1994 </t>
  </si>
  <si>
    <t>Czech Republic 1995 (121949 km) is considered unreliable when compared with 1994 (125695 km) and 1996 (126031 km): the value is replaced by fitting a straight line between 1994 and 1996</t>
  </si>
  <si>
    <t>Length of motorways</t>
  </si>
  <si>
    <t>AC13</t>
  </si>
  <si>
    <t>Motorways</t>
  </si>
  <si>
    <t>Sum of Value</t>
  </si>
  <si>
    <t>Year</t>
  </si>
  <si>
    <t>Indicator</t>
  </si>
  <si>
    <t>Text_F</t>
  </si>
  <si>
    <t>Country_ID</t>
  </si>
  <si>
    <t>1990</t>
  </si>
  <si>
    <t>1991</t>
  </si>
  <si>
    <t>1992</t>
  </si>
  <si>
    <t>1993</t>
  </si>
  <si>
    <t>1994</t>
  </si>
  <si>
    <t>1995</t>
  </si>
  <si>
    <t>1996</t>
  </si>
  <si>
    <t>1997</t>
  </si>
  <si>
    <t>1998</t>
  </si>
  <si>
    <t>1999</t>
  </si>
  <si>
    <t>Grand Total</t>
  </si>
  <si>
    <t>A.IV.01.020.00</t>
  </si>
  <si>
    <t>total</t>
  </si>
  <si>
    <t>ALB</t>
  </si>
  <si>
    <t>ARM</t>
  </si>
  <si>
    <t>AUT</t>
  </si>
  <si>
    <t>AZE</t>
  </si>
  <si>
    <t>BEL</t>
  </si>
  <si>
    <t>BGR</t>
  </si>
  <si>
    <t>BIH</t>
  </si>
  <si>
    <t>BLR</t>
  </si>
  <si>
    <t>CAN</t>
  </si>
  <si>
    <t>CHE</t>
  </si>
  <si>
    <t>CZE</t>
  </si>
  <si>
    <t>DEU</t>
  </si>
  <si>
    <t>DNK</t>
  </si>
  <si>
    <t>ESP</t>
  </si>
  <si>
    <t>EST</t>
  </si>
  <si>
    <t>FIN</t>
  </si>
  <si>
    <t>FRA</t>
  </si>
  <si>
    <t>GBR</t>
  </si>
  <si>
    <t>GEO</t>
  </si>
  <si>
    <t>GRC</t>
  </si>
  <si>
    <t>HRV</t>
  </si>
  <si>
    <t>HUN</t>
  </si>
  <si>
    <t>IRL</t>
  </si>
  <si>
    <t>ISR</t>
  </si>
  <si>
    <t>ITA</t>
  </si>
  <si>
    <t>KAZ</t>
  </si>
  <si>
    <t>KGZ</t>
  </si>
  <si>
    <t>LTU</t>
  </si>
  <si>
    <t>LUX</t>
  </si>
  <si>
    <t>LVA</t>
  </si>
  <si>
    <t>MDA</t>
  </si>
  <si>
    <t>MKD</t>
  </si>
  <si>
    <t>NLD</t>
  </si>
  <si>
    <t>NOR</t>
  </si>
  <si>
    <t>POL</t>
  </si>
  <si>
    <t>PRT</t>
  </si>
  <si>
    <t>ROM</t>
  </si>
  <si>
    <t>RUS</t>
  </si>
  <si>
    <t>SVK</t>
  </si>
  <si>
    <t>SVN</t>
  </si>
  <si>
    <t>SWE</t>
  </si>
  <si>
    <t>TJK</t>
  </si>
  <si>
    <t>TKM</t>
  </si>
  <si>
    <t>TUR</t>
  </si>
  <si>
    <t>UKR</t>
  </si>
  <si>
    <t>USA</t>
  </si>
  <si>
    <t>UZB</t>
  </si>
  <si>
    <t>YUG</t>
  </si>
  <si>
    <t>total Total</t>
  </si>
  <si>
    <t>A.IV.01.020.00 Total</t>
  </si>
  <si>
    <t>A.IV.01.021.00</t>
  </si>
  <si>
    <t>A.IV.01.021.00 Total</t>
  </si>
  <si>
    <t>A.IV.01.022.00</t>
  </si>
  <si>
    <t>A.IV.01.022.00 Total</t>
  </si>
  <si>
    <t>Railways length (km)</t>
  </si>
  <si>
    <t>Train-km per year (1000 train-km)</t>
  </si>
  <si>
    <t>Ratio: thousand trains per km infrastructure per year</t>
  </si>
  <si>
    <t>AC</t>
  </si>
  <si>
    <t>BG</t>
  </si>
  <si>
    <t>---</t>
  </si>
  <si>
    <t>AC-10</t>
  </si>
  <si>
    <t>CZ</t>
  </si>
  <si>
    <t>EU-14</t>
  </si>
  <si>
    <t>EE</t>
  </si>
  <si>
    <t>HU</t>
  </si>
  <si>
    <t>LV</t>
  </si>
  <si>
    <t>LT</t>
  </si>
  <si>
    <t>PL</t>
  </si>
  <si>
    <t>RO</t>
  </si>
  <si>
    <t>SK</t>
  </si>
  <si>
    <t>SI</t>
  </si>
  <si>
    <t>tot AC-10</t>
  </si>
  <si>
    <t>EU</t>
  </si>
  <si>
    <t>AU</t>
  </si>
  <si>
    <t>B</t>
  </si>
  <si>
    <t>DK</t>
  </si>
  <si>
    <t>FI</t>
  </si>
  <si>
    <t>F</t>
  </si>
  <si>
    <t>D</t>
  </si>
  <si>
    <t>GR</t>
  </si>
  <si>
    <t>EI</t>
  </si>
  <si>
    <t>IT</t>
  </si>
  <si>
    <t>LU</t>
  </si>
  <si>
    <t>NL</t>
  </si>
  <si>
    <t>P</t>
  </si>
  <si>
    <t>E</t>
  </si>
  <si>
    <t>S</t>
  </si>
  <si>
    <t>UK</t>
  </si>
  <si>
    <t>tot EU</t>
  </si>
  <si>
    <t>tot EU less UK</t>
  </si>
  <si>
    <t>(area in km2)</t>
  </si>
  <si>
    <t>(km per 1000 km2)</t>
  </si>
  <si>
    <t>Lenght of operated railway lines</t>
  </si>
  <si>
    <t>Note</t>
  </si>
  <si>
    <t>(km per 1000 inhabitants)</t>
  </si>
  <si>
    <t>Lenght of roads (including motorways)</t>
  </si>
  <si>
    <t>Lenght of motorways</t>
  </si>
  <si>
    <t>Lenght of roads (inlcuding motorways)</t>
  </si>
  <si>
    <t>Surface area accession countries and EU Member States</t>
  </si>
  <si>
    <t>Density of infrastrcuture in 1998 in Accession Countries and EU Member States</t>
  </si>
  <si>
    <t>Density per surface area</t>
  </si>
  <si>
    <t>EU-15 road calculated with Greece 1994, Italy 1997, the Netherlands 1997, Portugal 1997</t>
  </si>
  <si>
    <t>Road Greece 1994; Italy, Netherlands, Portugal 1997</t>
  </si>
  <si>
    <t>Density per inhabitant</t>
  </si>
  <si>
    <t>(km per 1 000 inhabitants)</t>
  </si>
  <si>
    <r>
      <t>(km per 1 000 km</t>
    </r>
    <r>
      <rPr>
        <i/>
        <vertAlign val="superscript"/>
        <sz val="8"/>
        <rFont val="Arial"/>
        <family val="2"/>
      </rPr>
      <t>2</t>
    </r>
    <r>
      <rPr>
        <i/>
        <sz val="8"/>
        <rFont val="Arial"/>
        <family val="2"/>
      </rPr>
      <t>)</t>
    </r>
  </si>
  <si>
    <t>Turkey 1998 (379059 km) is considered unreliable when compared with previous years (1997: 382397 km) and is therefore replaced by its 1997 value</t>
  </si>
  <si>
    <t>Estonia 1998 (49480 km) and 1999 (49480 km) are considered unreliable (probabaly due to different statistical approach) when compared with previous years (43889 km in 1997) and are therefore replaced by 1997 value</t>
  </si>
  <si>
    <t>Rail AC-13 calculated by excluding Cyprus and Malta (no railway lines on these islands)</t>
  </si>
  <si>
    <r>
      <t>(number of inhabitants per km</t>
    </r>
    <r>
      <rPr>
        <i/>
        <vertAlign val="superscript"/>
        <sz val="8"/>
        <rFont val="Arial CE"/>
        <family val="2"/>
      </rPr>
      <t>2</t>
    </r>
    <r>
      <rPr>
        <i/>
        <sz val="8"/>
        <rFont val="Arial CE"/>
        <family val="2"/>
      </rPr>
      <t>)</t>
    </r>
  </si>
  <si>
    <t>Density</t>
  </si>
  <si>
    <t>Density roads (population and surface) ordered by population density</t>
  </si>
  <si>
    <t>Population density (needed to determine population density order)</t>
  </si>
  <si>
    <t>Inhabitant</t>
  </si>
  <si>
    <t>Indexed road density (both per inhabitant and per surface area): AC-13=100</t>
  </si>
  <si>
    <t>Indexed rail density (both per inhabitant and per surface area): AC-13=100</t>
  </si>
  <si>
    <t>Indexed length of infrastructure</t>
  </si>
  <si>
    <t>(index)</t>
  </si>
  <si>
    <t>Oil pipelines (AC-5)</t>
  </si>
  <si>
    <t xml:space="preserve">Train-km per year </t>
  </si>
  <si>
    <t>(1000 km)</t>
  </si>
  <si>
    <t>EU15</t>
  </si>
  <si>
    <t>excluding Greece</t>
  </si>
  <si>
    <t>Eurostat</t>
  </si>
  <si>
    <t>Electrified railines</t>
  </si>
  <si>
    <t>-</t>
  </si>
  <si>
    <t>Share of electrified raillines in total length of rail network</t>
  </si>
  <si>
    <t>AC-11</t>
  </si>
  <si>
    <t>Level of use: freight</t>
  </si>
  <si>
    <t>(mio tonne-km per km rail)</t>
  </si>
  <si>
    <t>Level of use: passengers</t>
  </si>
  <si>
    <t>(mio passenger-km per km rail)</t>
  </si>
  <si>
    <t>AC-10 refers to AC-13, excluding Cyprus, Malta and Turkey</t>
  </si>
  <si>
    <t>AC10 refers to AC-13 excluding Cyprus, Malta and Turkey</t>
  </si>
  <si>
    <t xml:space="preserve"> UNECE</t>
  </si>
  <si>
    <t>Lenght of motorways per square kilometer</t>
  </si>
  <si>
    <t>Lenght of motorways per inhabitant</t>
  </si>
  <si>
    <r>
      <t xml:space="preserve">All data from UNECE, 2001: </t>
    </r>
    <r>
      <rPr>
        <i/>
        <sz val="8"/>
        <rFont val="Arial"/>
        <family val="2"/>
      </rPr>
      <t>Annual Bulletin of Transport Statistics for Europe and North America</t>
    </r>
    <r>
      <rPr>
        <sz val="8"/>
        <rFont val="Arial"/>
        <family val="2"/>
      </rPr>
      <t>. United Nations Economic Commission for Europe (UNECE). Data received by e-mail, July 2001.</t>
    </r>
  </si>
  <si>
    <t>Taken from Eurostat, 2002</t>
  </si>
  <si>
    <t>Note EU15</t>
  </si>
  <si>
    <t>Data for Greece 1990-1999 and the Netherlands 1998-1999 is taken from Eurostat, 2002</t>
  </si>
  <si>
    <t>UNECE, 2001; Eurostat, 2002</t>
  </si>
  <si>
    <t>Germany and UK 1990 not available, 1991 is used instead</t>
  </si>
  <si>
    <t>km</t>
  </si>
  <si>
    <t>km increase between 1990 and 1998</t>
  </si>
  <si>
    <t xml:space="preserve">Note: </t>
  </si>
  <si>
    <t>Greece 1995-1998 is estimated (considered to be equal to 1994); Italy, the Netherlands and Portugal 1998 considered to be equal to 1997 value</t>
  </si>
  <si>
    <t>Lenght of roads per square kilometer (including motorways)</t>
  </si>
  <si>
    <t>area in km2</t>
  </si>
  <si>
    <t>before 1991</t>
  </si>
  <si>
    <t>after 1991</t>
  </si>
  <si>
    <t>incl</t>
  </si>
  <si>
    <t>mot</t>
  </si>
  <si>
    <t>roads, excluding motorways based on AC-10 (excluding Czech Republic, Estonia and Turkey)</t>
  </si>
  <si>
    <t>Slovakia</t>
  </si>
  <si>
    <t>:</t>
  </si>
  <si>
    <t>90-00</t>
  </si>
  <si>
    <t>Source: Eurostat</t>
  </si>
  <si>
    <t>Source: Eurostat, 2003</t>
  </si>
  <si>
    <t>AC10</t>
  </si>
  <si>
    <t>90-2000</t>
  </si>
  <si>
    <t>AC-5</t>
  </si>
  <si>
    <t>AC-5 refers to Bulgaria, Hungary, Latvia, Poland and Romania</t>
  </si>
  <si>
    <t>Length of infrastructure networks (raw data and evolution)</t>
  </si>
  <si>
    <t>([Measures].[Value])</t>
  </si>
  <si>
    <t>Roads; total length of communal roads</t>
  </si>
  <si>
    <t xml:space="preserve">  Bulgaria</t>
  </si>
  <si>
    <t xml:space="preserve">  Cyprus</t>
  </si>
  <si>
    <t xml:space="preserve">  Czech Republic</t>
  </si>
  <si>
    <t xml:space="preserve">  Estonia</t>
  </si>
  <si>
    <t xml:space="preserve">  Latvia</t>
  </si>
  <si>
    <t xml:space="preserve">  Lithuania</t>
  </si>
  <si>
    <t xml:space="preserve">  Malta</t>
  </si>
  <si>
    <t xml:space="preserve">  Poland</t>
  </si>
  <si>
    <t xml:space="preserve">  Romania</t>
  </si>
  <si>
    <t xml:space="preserve">  Slovakia</t>
  </si>
  <si>
    <t xml:space="preserve">  Slovenia</t>
  </si>
  <si>
    <t xml:space="preserve">  Turkey</t>
  </si>
  <si>
    <t>Roads; total length of provincial roads</t>
  </si>
  <si>
    <t xml:space="preserve">  Hungary</t>
  </si>
  <si>
    <t>Roads; total length of state roads</t>
  </si>
  <si>
    <t>90/98</t>
  </si>
  <si>
    <t>94/2000</t>
  </si>
  <si>
    <t>93/99</t>
  </si>
  <si>
    <t>90/00</t>
  </si>
  <si>
    <t>97/99</t>
  </si>
  <si>
    <t>94/98</t>
  </si>
  <si>
    <t>98/00</t>
  </si>
  <si>
    <t>90/99</t>
  </si>
  <si>
    <t>Data on infrastructure for in fact sheet</t>
  </si>
  <si>
    <t>Infrastructure density and length per inhabitant in 2000</t>
  </si>
  <si>
    <t>Unit:</t>
  </si>
  <si>
    <t>km per 1 000 inhabitants / km per 1 000 km2</t>
  </si>
  <si>
    <t>surface area</t>
  </si>
  <si>
    <t>inhabitants</t>
  </si>
  <si>
    <t xml:space="preserve"> Eurostat, 2003</t>
  </si>
  <si>
    <t>Freight: mio tonne-km per km of railway line</t>
  </si>
  <si>
    <t>Passengers: mio passenger-km per km of railway line</t>
  </si>
  <si>
    <t>Freight</t>
  </si>
  <si>
    <t>Passengers</t>
  </si>
  <si>
    <t>Rail: level of use in 1999</t>
  </si>
  <si>
    <t>Note: Estonia and turkey, for passengers 1998data istead of 1999</t>
  </si>
  <si>
    <t>population density</t>
  </si>
  <si>
    <t>population: persons per km2</t>
  </si>
  <si>
    <t>correlation</t>
  </si>
  <si>
    <t>freight</t>
  </si>
  <si>
    <t>passengers</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</si>
</sst>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fl&quot;\ #,##0_-;&quot;fl&quot;\ #,##0\-"/>
    <numFmt numFmtId="171" formatCode="&quot;fl&quot;\ #,##0_-;[Red]&quot;fl&quot;\ #,##0\-"/>
    <numFmt numFmtId="172" formatCode="&quot;fl&quot;\ #,##0.00_-;&quot;fl&quot;\ #,##0.00\-"/>
    <numFmt numFmtId="173" formatCode="&quot;fl&quot;\ #,##0.00_-;[Red]&quot;fl&quot;\ #,##0.00\-"/>
    <numFmt numFmtId="174" formatCode="_-&quot;fl&quot;\ * #,##0_-;_-&quot;fl&quot;\ * #,##0\-;_-&quot;fl&quot;\ * &quot;-&quot;_-;_-@_-"/>
    <numFmt numFmtId="175" formatCode="_-* #,##0_-;_-* #,##0\-;_-* &quot;-&quot;_-;_-@_-"/>
    <numFmt numFmtId="176" formatCode="_-&quot;fl&quot;\ * #,##0.00_-;_-&quot;fl&quot;\ * #,##0.00\-;_-&quot;fl&quot;\ * &quot;-&quot;??_-;_-@_-"/>
    <numFmt numFmtId="177" formatCode="_-* #,##0.00_-;_-* #,##0.00\-;_-* &quot;-&quot;??_-;_-@_-"/>
    <numFmt numFmtId="178" formatCode="#,##0;\-#,##0;\-"/>
    <numFmt numFmtId="179" formatCode="#,##0.0;\-#,##0.0;\-"/>
    <numFmt numFmtId="180" formatCode="_-* #,##0.0_-;\-* #,##0.0_-;_-* &quot;-&quot;_-;_-@_-"/>
    <numFmt numFmtId="181" formatCode="_-* #,##0.00_-;\-* #,##0.00_-;_-* &quot;-&quot;_-;_-@_-"/>
    <numFmt numFmtId="182" formatCode="0.000"/>
    <numFmt numFmtId="183" formatCode="0.0"/>
    <numFmt numFmtId="184" formatCode="_-* #,##0.0_-;\-* #,##0.0_-;_-* &quot;-&quot;??_-;_-@_-"/>
    <numFmt numFmtId="185" formatCode="_-* #,##0_-;\-* #,##0_-;_-* &quot;-&quot;??_-;_-@_-"/>
    <numFmt numFmtId="186" formatCode="#\ ###\ ##0"/>
    <numFmt numFmtId="187" formatCode="&quot;# ##0;-# ##0;-&quot;"/>
    <numFmt numFmtId="188" formatCode="#,###,##0;\-#,##0;\-"/>
    <numFmt numFmtId="189" formatCode="_-* #,##0.00\ _z_ł_-;\-* #,##0.00\ _z_ł_-;_-* &quot;-&quot;??\ _z_ł_-;_-@_-"/>
    <numFmt numFmtId="190" formatCode="_-* #,##0\ _z_ł_-;\-* #,##0\ _z_ł_-;_-* &quot;-&quot;\ _z_ł_-;_-@_-"/>
    <numFmt numFmtId="191" formatCode="_-* #,##0.00\ &quot;zł&quot;_-;\-* #,##0.00\ &quot;zł&quot;_-;_-* &quot;-&quot;??\ &quot;zł&quot;_-;_-@_-"/>
    <numFmt numFmtId="192" formatCode="_-* #,##0\ &quot;zł&quot;_-;\-* #,##0\ &quot;zł&quot;_-;_-* &quot;-&quot;\ &quot;zł&quot;_-;_-@_-"/>
    <numFmt numFmtId="193" formatCode="#\ ##0"/>
    <numFmt numFmtId="194" formatCode="###0"/>
    <numFmt numFmtId="195" formatCode="0.0%"/>
    <numFmt numFmtId="196" formatCode="0.000%"/>
    <numFmt numFmtId="197" formatCode="0.0000%"/>
    <numFmt numFmtId="198" formatCode="0.000000"/>
    <numFmt numFmtId="199" formatCode="0.00000"/>
    <numFmt numFmtId="200" formatCode="0.0000"/>
    <numFmt numFmtId="201" formatCode="#,##0.00\,\-####.00\,\-"/>
    <numFmt numFmtId="202" formatCode="#,##0.00;\-####.00;\-"/>
    <numFmt numFmtId="203" formatCode="#,##0.00;\-#,##0.00;\-"/>
    <numFmt numFmtId="204" formatCode="&quot;Yes&quot;;&quot;Yes&quot;;&quot;No&quot;"/>
    <numFmt numFmtId="205" formatCode="&quot;True&quot;;&quot;True&quot;;&quot;False&quot;"/>
    <numFmt numFmtId="206" formatCode="&quot;On&quot;;&quot;On&quot;;&quot;Off&quot;"/>
    <numFmt numFmtId="207" formatCode="#,##0.0000"/>
    <numFmt numFmtId="208" formatCode="#,##0.000"/>
    <numFmt numFmtId="209" formatCode="#,##0.0"/>
  </numFmts>
  <fonts count="27">
    <font>
      <sz val="10"/>
      <name val="Arial CE"/>
      <family val="0"/>
    </font>
    <font>
      <sz val="10"/>
      <name val="Arial"/>
      <family val="0"/>
    </font>
    <font>
      <i/>
      <sz val="8"/>
      <name val="Arial"/>
      <family val="2"/>
    </font>
    <font>
      <sz val="8"/>
      <name val="Times New Roman"/>
      <family val="0"/>
    </font>
    <font>
      <u val="single"/>
      <sz val="10"/>
      <color indexed="12"/>
      <name val="Arial CE"/>
      <family val="0"/>
    </font>
    <font>
      <b/>
      <sz val="8"/>
      <name val="Arial"/>
      <family val="2"/>
    </font>
    <font>
      <sz val="8"/>
      <color indexed="12"/>
      <name val="Arial"/>
      <family val="2"/>
    </font>
    <font>
      <sz val="8"/>
      <name val="Arial"/>
      <family val="2"/>
    </font>
    <font>
      <u val="single"/>
      <sz val="10"/>
      <color indexed="36"/>
      <name val="Arial CE"/>
      <family val="0"/>
    </font>
    <font>
      <b/>
      <sz val="8"/>
      <name val="Tahoma"/>
      <family val="0"/>
    </font>
    <font>
      <sz val="20"/>
      <name val="Arial"/>
      <family val="2"/>
    </font>
    <font>
      <sz val="19.75"/>
      <name val="Arial"/>
      <family val="2"/>
    </font>
    <font>
      <sz val="16"/>
      <name val="Arial"/>
      <family val="2"/>
    </font>
    <font>
      <b/>
      <sz val="10.5"/>
      <name val="Arial"/>
      <family val="0"/>
    </font>
    <font>
      <sz val="11.5"/>
      <name val="Arial"/>
      <family val="0"/>
    </font>
    <font>
      <b/>
      <sz val="8.75"/>
      <name val="Arial"/>
      <family val="0"/>
    </font>
    <font>
      <u val="single"/>
      <sz val="8"/>
      <color indexed="12"/>
      <name val="Arial CE"/>
      <family val="2"/>
    </font>
    <font>
      <b/>
      <sz val="8"/>
      <name val="Times New Roman"/>
      <family val="1"/>
    </font>
    <font>
      <sz val="8"/>
      <name val="Arial CE"/>
      <family val="0"/>
    </font>
    <font>
      <i/>
      <vertAlign val="superscript"/>
      <sz val="8"/>
      <name val="Arial"/>
      <family val="2"/>
    </font>
    <font>
      <b/>
      <sz val="8"/>
      <name val="Arial CE"/>
      <family val="2"/>
    </font>
    <font>
      <i/>
      <sz val="8"/>
      <name val="Arial CE"/>
      <family val="2"/>
    </font>
    <font>
      <i/>
      <vertAlign val="superscript"/>
      <sz val="8"/>
      <name val="Arial CE"/>
      <family val="2"/>
    </font>
    <font>
      <sz val="15.75"/>
      <name val="Arial"/>
      <family val="2"/>
    </font>
    <font>
      <sz val="8"/>
      <name val="Optimum"/>
      <family val="0"/>
    </font>
    <font>
      <sz val="27"/>
      <name val="Arial"/>
      <family val="2"/>
    </font>
    <font>
      <sz val="12.75"/>
      <name val="Arial"/>
      <family val="2"/>
    </font>
  </fonts>
  <fills count="9">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15"/>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s>
  <borders count="1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pplyFont="0" applyFill="0" applyBorder="0" applyAlignment="0" applyProtection="0"/>
    <xf numFmtId="0" fontId="0" fillId="0" borderId="0" applyFont="0" applyFill="0" applyBorder="0" applyAlignment="0" applyProtection="0"/>
  </cellStyleXfs>
  <cellXfs count="167">
    <xf numFmtId="0" fontId="0" fillId="0" borderId="0" xfId="0" applyAlignment="1">
      <alignment/>
    </xf>
    <xf numFmtId="0" fontId="7" fillId="0" borderId="0" xfId="0" applyFont="1" applyAlignment="1">
      <alignment/>
    </xf>
    <xf numFmtId="0" fontId="7" fillId="0" borderId="0" xfId="0" applyFont="1" applyAlignment="1">
      <alignment horizontal="right"/>
    </xf>
    <xf numFmtId="0" fontId="5" fillId="0" borderId="0" xfId="0" applyFont="1" applyAlignment="1">
      <alignment/>
    </xf>
    <xf numFmtId="0" fontId="5" fillId="0" borderId="0" xfId="25" applyFont="1" applyFill="1" applyBorder="1">
      <alignment/>
      <protection/>
    </xf>
    <xf numFmtId="0" fontId="7" fillId="0" borderId="0" xfId="25" applyFont="1" applyFill="1" applyBorder="1">
      <alignment/>
      <protection/>
    </xf>
    <xf numFmtId="0" fontId="7" fillId="0" borderId="0" xfId="24" applyFont="1" applyFill="1" applyBorder="1">
      <alignment/>
      <protection/>
    </xf>
    <xf numFmtId="0" fontId="7" fillId="0" borderId="0" xfId="25" applyFont="1" applyFill="1" applyBorder="1" applyAlignment="1">
      <alignment horizontal="right"/>
      <protection/>
    </xf>
    <xf numFmtId="9" fontId="7" fillId="0" borderId="0" xfId="31" applyFont="1" applyFill="1" applyBorder="1" applyAlignment="1">
      <alignment/>
    </xf>
    <xf numFmtId="9" fontId="7" fillId="0" borderId="0" xfId="31" applyFont="1" applyFill="1" applyBorder="1" applyAlignment="1">
      <alignment horizontal="right"/>
    </xf>
    <xf numFmtId="0" fontId="7" fillId="0" borderId="0" xfId="22" applyFont="1" applyFill="1" applyBorder="1">
      <alignment/>
      <protection/>
    </xf>
    <xf numFmtId="0" fontId="7" fillId="0" borderId="0" xfId="29" applyFont="1" applyFill="1" applyBorder="1">
      <alignment/>
      <protection/>
    </xf>
    <xf numFmtId="0" fontId="5" fillId="0" borderId="0" xfId="21" applyFont="1" applyFill="1" applyBorder="1">
      <alignment/>
      <protection/>
    </xf>
    <xf numFmtId="0" fontId="7" fillId="0" borderId="0" xfId="21" applyFont="1" applyFill="1" applyBorder="1">
      <alignment/>
      <protection/>
    </xf>
    <xf numFmtId="0" fontId="5" fillId="0" borderId="0" xfId="23" applyFont="1">
      <alignment/>
      <protection/>
    </xf>
    <xf numFmtId="0" fontId="7" fillId="0" borderId="0" xfId="23" applyFont="1">
      <alignment/>
      <protection/>
    </xf>
    <xf numFmtId="0" fontId="2" fillId="0" borderId="0" xfId="21" applyFont="1">
      <alignment/>
      <protection/>
    </xf>
    <xf numFmtId="0" fontId="7" fillId="0" borderId="0" xfId="21" applyFont="1">
      <alignment/>
      <protection/>
    </xf>
    <xf numFmtId="0" fontId="2" fillId="0" borderId="0" xfId="25" applyFont="1" applyFill="1" applyBorder="1">
      <alignment/>
      <protection/>
    </xf>
    <xf numFmtId="0" fontId="7" fillId="0" borderId="0" xfId="27" applyFont="1" applyAlignment="1">
      <alignment horizontal="center"/>
      <protection/>
    </xf>
    <xf numFmtId="0" fontId="7" fillId="0" borderId="0" xfId="25" applyFont="1" applyFill="1" applyBorder="1" applyAlignment="1">
      <alignment horizontal="center"/>
      <protection/>
    </xf>
    <xf numFmtId="0" fontId="7" fillId="0" borderId="0" xfId="20" applyFont="1" applyFill="1" applyBorder="1" applyAlignment="1">
      <alignment horizontal="center"/>
      <protection/>
    </xf>
    <xf numFmtId="0" fontId="2" fillId="0" borderId="0" xfId="0" applyFont="1" applyFill="1" applyBorder="1" applyAlignment="1">
      <alignment/>
    </xf>
    <xf numFmtId="0" fontId="2" fillId="0" borderId="0" xfId="0" applyFont="1" applyAlignment="1">
      <alignment/>
    </xf>
    <xf numFmtId="41" fontId="7" fillId="0" borderId="0" xfId="0" applyNumberFormat="1" applyFont="1" applyFill="1" applyBorder="1" applyAlignment="1">
      <alignment horizontal="right" vertical="center"/>
    </xf>
    <xf numFmtId="41" fontId="7" fillId="0" borderId="0" xfId="25" applyNumberFormat="1" applyFont="1" applyFill="1" applyBorder="1">
      <alignment/>
      <protection/>
    </xf>
    <xf numFmtId="0" fontId="7" fillId="0" borderId="0" xfId="25" applyFont="1" applyFill="1" applyBorder="1" applyAlignment="1">
      <alignment horizontal="left"/>
      <protection/>
    </xf>
    <xf numFmtId="0" fontId="7" fillId="0" borderId="0" xfId="0" applyFont="1" applyBorder="1" applyAlignment="1">
      <alignment/>
    </xf>
    <xf numFmtId="3" fontId="7" fillId="0" borderId="0" xfId="31" applyNumberFormat="1" applyFont="1" applyFill="1" applyBorder="1" applyAlignment="1">
      <alignment/>
    </xf>
    <xf numFmtId="0" fontId="7" fillId="0" borderId="0" xfId="0" applyFont="1" applyAlignment="1">
      <alignment horizontal="center"/>
    </xf>
    <xf numFmtId="0" fontId="5" fillId="0" borderId="0" xfId="30" applyFont="1">
      <alignment/>
      <protection/>
    </xf>
    <xf numFmtId="0" fontId="7" fillId="0" borderId="0" xfId="30" applyFont="1">
      <alignment/>
      <protection/>
    </xf>
    <xf numFmtId="0" fontId="2" fillId="0" borderId="0" xfId="30" applyFont="1">
      <alignment/>
      <protection/>
    </xf>
    <xf numFmtId="0" fontId="7" fillId="0" borderId="0" xfId="30" applyFont="1" applyFill="1">
      <alignment/>
      <protection/>
    </xf>
    <xf numFmtId="0" fontId="7" fillId="0" borderId="0" xfId="26" applyFont="1" applyFill="1" applyBorder="1">
      <alignment/>
      <protection/>
    </xf>
    <xf numFmtId="0" fontId="7" fillId="0" borderId="0" xfId="26" applyFont="1" applyFill="1" applyBorder="1" applyAlignment="1">
      <alignment horizontal="center"/>
      <protection/>
    </xf>
    <xf numFmtId="0" fontId="5" fillId="0" borderId="0" xfId="0" applyFont="1" applyBorder="1" applyAlignment="1">
      <alignment/>
    </xf>
    <xf numFmtId="0" fontId="2" fillId="0" borderId="0" xfId="0" applyFont="1" applyBorder="1" applyAlignment="1">
      <alignment/>
    </xf>
    <xf numFmtId="3" fontId="7" fillId="0" borderId="0" xfId="0" applyNumberFormat="1" applyFont="1" applyBorder="1" applyAlignment="1">
      <alignment/>
    </xf>
    <xf numFmtId="0" fontId="7" fillId="0" borderId="0" xfId="0" applyFont="1" applyFill="1" applyBorder="1" applyAlignment="1">
      <alignment/>
    </xf>
    <xf numFmtId="2" fontId="7" fillId="0" borderId="0" xfId="0" applyNumberFormat="1" applyFont="1" applyBorder="1" applyAlignment="1">
      <alignment/>
    </xf>
    <xf numFmtId="1" fontId="7" fillId="0" borderId="0" xfId="0" applyNumberFormat="1" applyFont="1" applyBorder="1" applyAlignment="1">
      <alignment/>
    </xf>
    <xf numFmtId="0" fontId="5" fillId="0" borderId="0" xfId="28" applyFont="1">
      <alignment/>
      <protection/>
    </xf>
    <xf numFmtId="0" fontId="7" fillId="0" borderId="0" xfId="0" applyFont="1" applyFill="1" applyBorder="1" applyAlignment="1">
      <alignment horizontal="right" vertical="center"/>
    </xf>
    <xf numFmtId="0" fontId="16" fillId="0" borderId="0" xfId="16" applyFont="1" applyAlignment="1">
      <alignment/>
    </xf>
    <xf numFmtId="0" fontId="7" fillId="0" borderId="0" xfId="28" applyFont="1">
      <alignment/>
      <protection/>
    </xf>
    <xf numFmtId="0" fontId="5" fillId="2" borderId="0" xfId="28" applyFont="1" applyFill="1">
      <alignment/>
      <protection/>
    </xf>
    <xf numFmtId="0" fontId="7" fillId="2" borderId="0" xfId="28" applyFont="1" applyFill="1">
      <alignment/>
      <protection/>
    </xf>
    <xf numFmtId="0" fontId="5" fillId="3" borderId="0" xfId="28" applyFont="1" applyFill="1">
      <alignment/>
      <protection/>
    </xf>
    <xf numFmtId="0" fontId="7" fillId="3" borderId="0" xfId="28" applyFont="1" applyFill="1">
      <alignment/>
      <protection/>
    </xf>
    <xf numFmtId="0" fontId="7" fillId="0" borderId="0" xfId="28" applyFont="1" applyFill="1">
      <alignment/>
      <protection/>
    </xf>
    <xf numFmtId="0" fontId="5" fillId="4" borderId="0" xfId="28" applyFont="1" applyFill="1">
      <alignment/>
      <protection/>
    </xf>
    <xf numFmtId="0" fontId="7" fillId="4" borderId="0" xfId="28" applyFont="1" applyFill="1">
      <alignment/>
      <protection/>
    </xf>
    <xf numFmtId="0" fontId="17" fillId="5" borderId="0" xfId="28" applyFont="1" applyFill="1" applyBorder="1" applyAlignment="1">
      <alignment horizontal="center" vertical="center"/>
      <protection/>
    </xf>
    <xf numFmtId="0" fontId="7" fillId="0" borderId="0" xfId="28" applyFont="1" applyBorder="1">
      <alignment/>
      <protection/>
    </xf>
    <xf numFmtId="0" fontId="17" fillId="0" borderId="0" xfId="28" applyFont="1" applyFill="1" applyBorder="1" applyAlignment="1">
      <alignment horizontal="center" vertical="center"/>
      <protection/>
    </xf>
    <xf numFmtId="0" fontId="17" fillId="2" borderId="0" xfId="28" applyFont="1" applyFill="1" applyBorder="1" applyAlignment="1">
      <alignment horizontal="right" vertical="center"/>
      <protection/>
    </xf>
    <xf numFmtId="0" fontId="7" fillId="3" borderId="1" xfId="28" applyNumberFormat="1" applyFont="1" applyFill="1" applyBorder="1">
      <alignment/>
      <protection/>
    </xf>
    <xf numFmtId="0" fontId="7" fillId="3" borderId="0" xfId="28" applyNumberFormat="1" applyFont="1" applyFill="1">
      <alignment/>
      <protection/>
    </xf>
    <xf numFmtId="0" fontId="7" fillId="0" borderId="0" xfId="28" applyNumberFormat="1" applyFont="1" applyFill="1">
      <alignment/>
      <protection/>
    </xf>
    <xf numFmtId="0" fontId="7" fillId="6" borderId="0" xfId="28" applyFont="1" applyFill="1" applyAlignment="1" quotePrefix="1">
      <alignment horizontal="center"/>
      <protection/>
    </xf>
    <xf numFmtId="2" fontId="7" fillId="6" borderId="0" xfId="28" applyNumberFormat="1" applyFont="1" applyFill="1">
      <alignment/>
      <protection/>
    </xf>
    <xf numFmtId="2" fontId="7" fillId="0" borderId="0" xfId="28" applyNumberFormat="1" applyFont="1">
      <alignment/>
      <protection/>
    </xf>
    <xf numFmtId="3" fontId="7" fillId="0" borderId="0" xfId="28" applyNumberFormat="1" applyFont="1">
      <alignment/>
      <protection/>
    </xf>
    <xf numFmtId="0" fontId="7" fillId="0" borderId="1" xfId="28" applyNumberFormat="1" applyFont="1" applyFill="1" applyBorder="1">
      <alignment/>
      <protection/>
    </xf>
    <xf numFmtId="0" fontId="7" fillId="0" borderId="0" xfId="28" applyFont="1">
      <alignment/>
      <protection/>
    </xf>
    <xf numFmtId="0" fontId="17" fillId="0" borderId="0" xfId="28" applyFont="1" applyFill="1" applyBorder="1" applyAlignment="1">
      <alignment horizontal="right" vertical="center"/>
      <protection/>
    </xf>
    <xf numFmtId="0" fontId="5" fillId="6" borderId="0" xfId="28" applyFont="1" applyFill="1">
      <alignment/>
      <protection/>
    </xf>
    <xf numFmtId="0" fontId="7" fillId="0" borderId="1" xfId="28" applyNumberFormat="1" applyFont="1" applyBorder="1">
      <alignment/>
      <protection/>
    </xf>
    <xf numFmtId="0" fontId="7" fillId="0" borderId="0" xfId="28" applyNumberFormat="1" applyFont="1">
      <alignment/>
      <protection/>
    </xf>
    <xf numFmtId="0" fontId="7" fillId="0" borderId="2" xfId="28" applyFont="1" applyBorder="1">
      <alignment/>
      <protection/>
    </xf>
    <xf numFmtId="0" fontId="7" fillId="0" borderId="3" xfId="28" applyFont="1" applyBorder="1">
      <alignment/>
      <protection/>
    </xf>
    <xf numFmtId="0" fontId="7" fillId="0" borderId="4" xfId="28" applyFont="1" applyBorder="1">
      <alignment/>
      <protection/>
    </xf>
    <xf numFmtId="0" fontId="7" fillId="0" borderId="2" xfId="28" applyFont="1" applyBorder="1">
      <alignment/>
      <protection/>
    </xf>
    <xf numFmtId="0" fontId="7" fillId="0" borderId="5" xfId="28" applyFont="1" applyBorder="1">
      <alignment/>
      <protection/>
    </xf>
    <xf numFmtId="0" fontId="7" fillId="0" borderId="6" xfId="28" applyFont="1" applyBorder="1">
      <alignment/>
      <protection/>
    </xf>
    <xf numFmtId="0" fontId="7" fillId="0" borderId="2" xfId="28" applyNumberFormat="1" applyFont="1" applyBorder="1">
      <alignment/>
      <protection/>
    </xf>
    <xf numFmtId="0" fontId="7" fillId="0" borderId="5" xfId="28" applyNumberFormat="1" applyFont="1" applyBorder="1">
      <alignment/>
      <protection/>
    </xf>
    <xf numFmtId="0" fontId="7" fillId="0" borderId="6" xfId="28" applyNumberFormat="1" applyFont="1" applyBorder="1">
      <alignment/>
      <protection/>
    </xf>
    <xf numFmtId="0" fontId="7" fillId="0" borderId="7" xfId="28" applyFont="1" applyBorder="1">
      <alignment/>
      <protection/>
    </xf>
    <xf numFmtId="0" fontId="7" fillId="0" borderId="1" xfId="28" applyFont="1" applyBorder="1">
      <alignment/>
      <protection/>
    </xf>
    <xf numFmtId="0" fontId="7" fillId="0" borderId="8" xfId="28" applyNumberFormat="1" applyFont="1" applyBorder="1">
      <alignment/>
      <protection/>
    </xf>
    <xf numFmtId="0" fontId="7" fillId="0" borderId="9" xfId="28" applyFont="1" applyBorder="1">
      <alignment/>
      <protection/>
    </xf>
    <xf numFmtId="0" fontId="7" fillId="0" borderId="10" xfId="28" applyFont="1" applyBorder="1">
      <alignment/>
      <protection/>
    </xf>
    <xf numFmtId="0" fontId="7" fillId="0" borderId="9" xfId="28" applyNumberFormat="1" applyFont="1" applyBorder="1">
      <alignment/>
      <protection/>
    </xf>
    <xf numFmtId="0" fontId="7" fillId="0" borderId="11" xfId="28" applyNumberFormat="1" applyFont="1" applyBorder="1">
      <alignment/>
      <protection/>
    </xf>
    <xf numFmtId="0" fontId="7" fillId="0" borderId="12" xfId="28" applyNumberFormat="1" applyFont="1" applyBorder="1">
      <alignment/>
      <protection/>
    </xf>
    <xf numFmtId="0" fontId="18" fillId="0" borderId="0" xfId="0" applyFont="1" applyBorder="1" applyAlignment="1">
      <alignment/>
    </xf>
    <xf numFmtId="0" fontId="18" fillId="0" borderId="0" xfId="0" applyFont="1" applyFill="1" applyBorder="1" applyAlignment="1">
      <alignment/>
    </xf>
    <xf numFmtId="1" fontId="18" fillId="0" borderId="0" xfId="0" applyNumberFormat="1" applyFont="1" applyBorder="1" applyAlignment="1">
      <alignment/>
    </xf>
    <xf numFmtId="178" fontId="7" fillId="0" borderId="0"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9" fontId="7" fillId="0" borderId="0" xfId="31" applyFont="1" applyFill="1" applyBorder="1" applyAlignment="1">
      <alignment horizontal="right" vertical="center"/>
    </xf>
    <xf numFmtId="181" fontId="7" fillId="0" borderId="0" xfId="0" applyNumberFormat="1" applyFont="1" applyFill="1" applyBorder="1" applyAlignment="1">
      <alignment horizontal="right" vertical="center"/>
    </xf>
    <xf numFmtId="0" fontId="7" fillId="0" borderId="0" xfId="0" applyFont="1" applyFill="1" applyBorder="1" applyAlignment="1">
      <alignment horizontal="center"/>
    </xf>
    <xf numFmtId="0" fontId="7" fillId="0" borderId="0" xfId="0" applyFont="1" applyBorder="1" applyAlignment="1">
      <alignment horizontal="center"/>
    </xf>
    <xf numFmtId="178" fontId="7" fillId="7" borderId="0" xfId="0" applyNumberFormat="1" applyFont="1" applyFill="1" applyBorder="1" applyAlignment="1">
      <alignment horizontal="right" vertical="center"/>
    </xf>
    <xf numFmtId="0" fontId="20" fillId="0" borderId="0" xfId="0" applyFont="1" applyBorder="1" applyAlignment="1">
      <alignment/>
    </xf>
    <xf numFmtId="0" fontId="21" fillId="0" borderId="0" xfId="0" applyFont="1" applyBorder="1" applyAlignment="1">
      <alignment/>
    </xf>
    <xf numFmtId="185" fontId="18" fillId="0" borderId="0" xfId="0" applyNumberFormat="1" applyFont="1" applyBorder="1" applyAlignment="1">
      <alignment/>
    </xf>
    <xf numFmtId="178" fontId="18" fillId="0" borderId="0" xfId="0" applyNumberFormat="1" applyFont="1" applyBorder="1" applyAlignment="1">
      <alignment/>
    </xf>
    <xf numFmtId="0" fontId="20" fillId="0" borderId="0" xfId="0" applyFont="1" applyAlignment="1">
      <alignment/>
    </xf>
    <xf numFmtId="0" fontId="18" fillId="0" borderId="0" xfId="0" applyFont="1" applyAlignment="1">
      <alignment/>
    </xf>
    <xf numFmtId="0" fontId="21" fillId="0" borderId="0" xfId="0" applyFont="1" applyAlignment="1">
      <alignment/>
    </xf>
    <xf numFmtId="178" fontId="7" fillId="0" borderId="0" xfId="28" applyNumberFormat="1" applyFont="1" applyBorder="1" applyAlignment="1">
      <alignment horizontal="right"/>
      <protection/>
    </xf>
    <xf numFmtId="178" fontId="7" fillId="0" borderId="0" xfId="28" applyNumberFormat="1" applyFont="1" applyAlignment="1">
      <alignment horizontal="right"/>
      <protection/>
    </xf>
    <xf numFmtId="188" fontId="7" fillId="0" borderId="0" xfId="0" applyNumberFormat="1" applyFont="1" applyFill="1" applyBorder="1" applyAlignment="1">
      <alignment horizontal="right" vertical="center"/>
    </xf>
    <xf numFmtId="188" fontId="7" fillId="0" borderId="0" xfId="28" applyNumberFormat="1" applyFont="1" applyBorder="1">
      <alignment/>
      <protection/>
    </xf>
    <xf numFmtId="188" fontId="7" fillId="0" borderId="0" xfId="28" applyNumberFormat="1" applyFont="1">
      <alignment/>
      <protection/>
    </xf>
    <xf numFmtId="188" fontId="7" fillId="0" borderId="0" xfId="28" applyNumberFormat="1" applyFont="1" applyBorder="1" applyAlignment="1">
      <alignment horizontal="right"/>
      <protection/>
    </xf>
    <xf numFmtId="0" fontId="5" fillId="0" borderId="0" xfId="28" applyFont="1" applyFill="1">
      <alignment/>
      <protection/>
    </xf>
    <xf numFmtId="0" fontId="2" fillId="0" borderId="0" xfId="28" applyFont="1" applyFill="1">
      <alignment/>
      <protection/>
    </xf>
    <xf numFmtId="186" fontId="7" fillId="0" borderId="0" xfId="30" applyNumberFormat="1" applyFont="1" applyAlignment="1">
      <alignment horizontal="right"/>
      <protection/>
    </xf>
    <xf numFmtId="186" fontId="7" fillId="0" borderId="0" xfId="30" applyNumberFormat="1" applyFont="1">
      <alignment/>
      <protection/>
    </xf>
    <xf numFmtId="9" fontId="7" fillId="0" borderId="0" xfId="31" applyFont="1" applyAlignment="1">
      <alignment/>
    </xf>
    <xf numFmtId="188" fontId="7" fillId="0" borderId="0" xfId="30" applyNumberFormat="1" applyFont="1" applyAlignment="1">
      <alignment horizontal="right"/>
      <protection/>
    </xf>
    <xf numFmtId="0" fontId="7" fillId="0" borderId="0" xfId="19" applyFont="1" applyBorder="1">
      <alignment/>
      <protection/>
    </xf>
    <xf numFmtId="0" fontId="7" fillId="0" borderId="0" xfId="19" applyFont="1" applyBorder="1" applyAlignment="1">
      <alignment horizontal="right"/>
      <protection/>
    </xf>
    <xf numFmtId="188" fontId="7" fillId="0" borderId="0" xfId="19" applyNumberFormat="1" applyFont="1" applyBorder="1">
      <alignment/>
      <protection/>
    </xf>
    <xf numFmtId="188" fontId="7" fillId="0" borderId="0" xfId="0" applyNumberFormat="1" applyFont="1" applyAlignment="1">
      <alignment/>
    </xf>
    <xf numFmtId="193" fontId="7" fillId="0" borderId="0" xfId="0" applyNumberFormat="1" applyFont="1" applyAlignment="1">
      <alignment/>
    </xf>
    <xf numFmtId="193" fontId="7" fillId="0" borderId="0" xfId="0" applyNumberFormat="1" applyFont="1" applyAlignment="1">
      <alignment horizontal="right"/>
    </xf>
    <xf numFmtId="195" fontId="7" fillId="0" borderId="0" xfId="0" applyNumberFormat="1" applyFont="1" applyAlignment="1">
      <alignment/>
    </xf>
    <xf numFmtId="195" fontId="7" fillId="0" borderId="0" xfId="0" applyNumberFormat="1" applyFont="1" applyAlignment="1">
      <alignment horizontal="right"/>
    </xf>
    <xf numFmtId="0" fontId="7" fillId="0" borderId="0" xfId="26" applyFont="1" applyFill="1" applyBorder="1" applyAlignment="1">
      <alignment horizontal="right"/>
      <protection/>
    </xf>
    <xf numFmtId="186" fontId="7" fillId="0" borderId="0" xfId="0" applyNumberFormat="1" applyFont="1" applyAlignment="1">
      <alignment horizontal="right"/>
    </xf>
    <xf numFmtId="195" fontId="7" fillId="0" borderId="0" xfId="19" applyNumberFormat="1" applyFont="1" applyBorder="1">
      <alignment/>
      <protection/>
    </xf>
    <xf numFmtId="0" fontId="5" fillId="0" borderId="0" xfId="0" applyFont="1" applyFill="1" applyBorder="1" applyAlignment="1">
      <alignment/>
    </xf>
    <xf numFmtId="0" fontId="7" fillId="0" borderId="0" xfId="0" applyFont="1" applyFill="1" applyBorder="1" applyAlignment="1">
      <alignment horizontal="left"/>
    </xf>
    <xf numFmtId="178" fontId="7" fillId="0" borderId="0" xfId="0" applyNumberFormat="1" applyFont="1" applyAlignment="1">
      <alignment/>
    </xf>
    <xf numFmtId="202" fontId="7" fillId="0" borderId="0" xfId="0" applyNumberFormat="1" applyFont="1" applyAlignment="1">
      <alignment horizontal="right"/>
    </xf>
    <xf numFmtId="178" fontId="7" fillId="0" borderId="0" xfId="0" applyNumberFormat="1" applyFont="1" applyAlignment="1">
      <alignment horizontal="right"/>
    </xf>
    <xf numFmtId="203" fontId="7" fillId="0" borderId="0" xfId="0" applyNumberFormat="1" applyFont="1" applyFill="1" applyBorder="1" applyAlignment="1">
      <alignment horizontal="right" vertical="center"/>
    </xf>
    <xf numFmtId="0" fontId="7" fillId="0" borderId="0" xfId="23" applyFont="1" applyAlignment="1">
      <alignment horizontal="left"/>
      <protection/>
    </xf>
    <xf numFmtId="0" fontId="7" fillId="0" borderId="0" xfId="0" applyFont="1" applyAlignment="1">
      <alignment horizontal="left"/>
    </xf>
    <xf numFmtId="1" fontId="18" fillId="0" borderId="0" xfId="0" applyNumberFormat="1" applyFont="1" applyAlignment="1">
      <alignment horizontal="right"/>
    </xf>
    <xf numFmtId="0" fontId="7" fillId="7" borderId="0" xfId="30" applyFont="1" applyFill="1">
      <alignment/>
      <protection/>
    </xf>
    <xf numFmtId="188" fontId="7" fillId="7" borderId="0" xfId="30" applyNumberFormat="1" applyFont="1" applyFill="1" applyAlignment="1">
      <alignment horizontal="right"/>
      <protection/>
    </xf>
    <xf numFmtId="178" fontId="7" fillId="0" borderId="0" xfId="25" applyNumberFormat="1" applyFont="1" applyFill="1" applyBorder="1">
      <alignment/>
      <protection/>
    </xf>
    <xf numFmtId="178" fontId="7" fillId="0" borderId="0" xfId="0" applyNumberFormat="1" applyFont="1" applyFill="1" applyBorder="1" applyAlignment="1">
      <alignment horizontal="left" vertical="center"/>
    </xf>
    <xf numFmtId="0" fontId="7" fillId="0" borderId="0" xfId="0" applyFont="1" applyAlignment="1">
      <alignment/>
    </xf>
    <xf numFmtId="3" fontId="7" fillId="0" borderId="0" xfId="0" applyNumberFormat="1" applyFont="1" applyAlignment="1">
      <alignment horizontal="right"/>
    </xf>
    <xf numFmtId="3" fontId="24" fillId="0" borderId="0" xfId="0" applyNumberFormat="1" applyFont="1" applyAlignment="1">
      <alignment/>
    </xf>
    <xf numFmtId="10" fontId="7" fillId="0" borderId="0" xfId="31" applyNumberFormat="1" applyFont="1" applyAlignment="1">
      <alignment/>
    </xf>
    <xf numFmtId="195" fontId="7" fillId="0" borderId="0" xfId="25" applyNumberFormat="1" applyFont="1" applyFill="1" applyBorder="1">
      <alignment/>
      <protection/>
    </xf>
    <xf numFmtId="0" fontId="7" fillId="8" borderId="0" xfId="25" applyFont="1" applyFill="1" applyBorder="1">
      <alignment/>
      <protection/>
    </xf>
    <xf numFmtId="0" fontId="7" fillId="8" borderId="0" xfId="27" applyFont="1" applyFill="1" applyAlignment="1">
      <alignment horizontal="center"/>
      <protection/>
    </xf>
    <xf numFmtId="0" fontId="7" fillId="8" borderId="0" xfId="25" applyFont="1" applyFill="1" applyBorder="1" applyAlignment="1">
      <alignment horizontal="center"/>
      <protection/>
    </xf>
    <xf numFmtId="0" fontId="7" fillId="8" borderId="0" xfId="20" applyFont="1" applyFill="1" applyBorder="1" applyAlignment="1">
      <alignment horizontal="center"/>
      <protection/>
    </xf>
    <xf numFmtId="0" fontId="2" fillId="8" borderId="0" xfId="25" applyFont="1" applyFill="1" applyBorder="1" applyAlignment="1">
      <alignment horizontal="center"/>
      <protection/>
    </xf>
    <xf numFmtId="0" fontId="18" fillId="0" borderId="0" xfId="0" applyFont="1" applyAlignment="1">
      <alignment/>
    </xf>
    <xf numFmtId="9" fontId="18" fillId="0" borderId="0" xfId="0" applyNumberFormat="1" applyFont="1" applyAlignment="1">
      <alignment/>
    </xf>
    <xf numFmtId="0" fontId="18" fillId="7" borderId="0" xfId="0" applyFont="1" applyFill="1" applyAlignment="1">
      <alignment/>
    </xf>
    <xf numFmtId="0" fontId="7" fillId="0" borderId="13" xfId="0" applyFont="1" applyBorder="1" applyAlignment="1">
      <alignment/>
    </xf>
    <xf numFmtId="0" fontId="7" fillId="0" borderId="13" xfId="0" applyFont="1" applyBorder="1" applyAlignment="1">
      <alignment horizontal="center"/>
    </xf>
    <xf numFmtId="1" fontId="7" fillId="0" borderId="0" xfId="0" applyNumberFormat="1" applyFont="1" applyFill="1" applyBorder="1" applyAlignment="1">
      <alignment horizontal="right"/>
    </xf>
    <xf numFmtId="2" fontId="7" fillId="0" borderId="0" xfId="0" applyNumberFormat="1" applyFont="1" applyFill="1" applyBorder="1" applyAlignment="1">
      <alignment horizontal="right"/>
    </xf>
    <xf numFmtId="1" fontId="7" fillId="0" borderId="0" xfId="0" applyNumberFormat="1" applyFont="1" applyAlignment="1">
      <alignment/>
    </xf>
    <xf numFmtId="2" fontId="7" fillId="0" borderId="0" xfId="0" applyNumberFormat="1" applyFont="1" applyAlignment="1">
      <alignment/>
    </xf>
    <xf numFmtId="183" fontId="7" fillId="0" borderId="0" xfId="0" applyNumberFormat="1" applyFont="1" applyFill="1" applyBorder="1" applyAlignment="1">
      <alignment horizontal="right"/>
    </xf>
    <xf numFmtId="183"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 fontId="5" fillId="0" borderId="0" xfId="0" applyNumberFormat="1" applyFont="1" applyFill="1" applyBorder="1" applyAlignment="1">
      <alignment horizontal="right"/>
    </xf>
    <xf numFmtId="1" fontId="5" fillId="0" borderId="0" xfId="0" applyNumberFormat="1" applyFont="1" applyAlignment="1">
      <alignment/>
    </xf>
    <xf numFmtId="2" fontId="5" fillId="0" borderId="0" xfId="0" applyNumberFormat="1" applyFont="1" applyAlignment="1">
      <alignment/>
    </xf>
    <xf numFmtId="0" fontId="7" fillId="0" borderId="0" xfId="0" applyFont="1" applyAlignment="1">
      <alignment horizontal="center"/>
    </xf>
  </cellXfs>
  <cellStyles count="21">
    <cellStyle name="Normal" xfId="0"/>
    <cellStyle name="Followed Hyperlink" xfId="15"/>
    <cellStyle name="Hyperlink" xfId="16"/>
    <cellStyle name="Comma" xfId="17"/>
    <cellStyle name="Comma [0]" xfId="18"/>
    <cellStyle name="Normal_Book2western_unece_sceia" xfId="19"/>
    <cellStyle name="Normal_cars UNECE" xfId="20"/>
    <cellStyle name="Normal_pipeline UNECE" xfId="21"/>
    <cellStyle name="Normal_rail UNECE" xfId="22"/>
    <cellStyle name="Normal_readme" xfId="23"/>
    <cellStyle name="Normal_roads UNECE" xfId="24"/>
    <cellStyle name="Normal_Sheet1" xfId="25"/>
    <cellStyle name="Normal_Sheet1_Electrified raillines" xfId="26"/>
    <cellStyle name="Normal_UNECE_populGDP" xfId="27"/>
    <cellStyle name="Normal_UNECE_train-km_MFO" xfId="28"/>
    <cellStyle name="Normal_waterway UNECE" xfId="29"/>
    <cellStyle name="Normal_wishlist fulfilled" xfId="30"/>
    <cellStyle name="Percent" xfId="31"/>
    <cellStyle name="Standard_EUMERCH" xfId="32"/>
    <cellStyle name="Currency" xfId="33"/>
    <cellStyle name="Currency [0]"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25"/>
          <c:y val="0.02025"/>
          <c:w val="0.8875"/>
          <c:h val="0.8885"/>
        </c:manualLayout>
      </c:layout>
      <c:lineChart>
        <c:grouping val="standard"/>
        <c:varyColors val="0"/>
        <c:ser>
          <c:idx val="1"/>
          <c:order val="0"/>
          <c:tx>
            <c:strRef>
              <c:f>'data_km_infra_indexed_AC-13'!$B$4</c:f>
              <c:strCache>
                <c:ptCount val="1"/>
                <c:pt idx="0">
                  <c:v>Motorways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'data_km_infra_indexed_AC-13'!$A$5:$A$14</c:f>
              <c:numCache>
                <c:ptCount val="10"/>
                <c:pt idx="0">
                  <c:v>1990</c:v>
                </c:pt>
                <c:pt idx="1">
                  <c:v>1991</c:v>
                </c:pt>
                <c:pt idx="2">
                  <c:v>1992</c:v>
                </c:pt>
                <c:pt idx="3">
                  <c:v>1993</c:v>
                </c:pt>
                <c:pt idx="4">
                  <c:v>1994</c:v>
                </c:pt>
                <c:pt idx="5">
                  <c:v>1995</c:v>
                </c:pt>
                <c:pt idx="6">
                  <c:v>1996</c:v>
                </c:pt>
                <c:pt idx="7">
                  <c:v>1997</c:v>
                </c:pt>
                <c:pt idx="8">
                  <c:v>1998</c:v>
                </c:pt>
                <c:pt idx="9">
                  <c:v>1999</c:v>
                </c:pt>
              </c:numCache>
            </c:numRef>
          </c:cat>
          <c:val>
            <c:numRef>
              <c:f>'data_km_infra_indexed_AC-13'!$B$5:$B$15</c:f>
              <c:numCache>
                <c:ptCount val="11"/>
                <c:pt idx="0">
                  <c:v>89.67446592065107</c:v>
                </c:pt>
                <c:pt idx="1">
                  <c:v>88.50457782299085</c:v>
                </c:pt>
                <c:pt idx="2">
                  <c:v>90.8443540183113</c:v>
                </c:pt>
                <c:pt idx="3">
                  <c:v>100</c:v>
                </c:pt>
                <c:pt idx="4">
                  <c:v>102.84842319430317</c:v>
                </c:pt>
                <c:pt idx="5">
                  <c:v>107.45167853509665</c:v>
                </c:pt>
                <c:pt idx="6">
                  <c:v>113.68260427263479</c:v>
                </c:pt>
                <c:pt idx="7">
                  <c:v>119.83723296032554</c:v>
                </c:pt>
                <c:pt idx="8">
                  <c:v>130.77314343845373</c:v>
                </c:pt>
                <c:pt idx="9">
                  <c:v>136.21566632756867</c:v>
                </c:pt>
                <c:pt idx="10">
                  <c:v>141.3021363173957</c:v>
                </c:pt>
              </c:numCache>
            </c:numRef>
          </c:val>
          <c:smooth val="0"/>
        </c:ser>
        <c:ser>
          <c:idx val="2"/>
          <c:order val="1"/>
          <c:tx>
            <c:strRef>
              <c:f>'data_km_infra_indexed_AC-13'!$C$4</c:f>
              <c:strCache>
                <c:ptCount val="1"/>
                <c:pt idx="0">
                  <c:v>Rail</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'data_km_infra_indexed_AC-13'!$A$5:$A$14</c:f>
              <c:numCache>
                <c:ptCount val="10"/>
                <c:pt idx="0">
                  <c:v>1990</c:v>
                </c:pt>
                <c:pt idx="1">
                  <c:v>1991</c:v>
                </c:pt>
                <c:pt idx="2">
                  <c:v>1992</c:v>
                </c:pt>
                <c:pt idx="3">
                  <c:v>1993</c:v>
                </c:pt>
                <c:pt idx="4">
                  <c:v>1994</c:v>
                </c:pt>
                <c:pt idx="5">
                  <c:v>1995</c:v>
                </c:pt>
                <c:pt idx="6">
                  <c:v>1996</c:v>
                </c:pt>
                <c:pt idx="7">
                  <c:v>1997</c:v>
                </c:pt>
                <c:pt idx="8">
                  <c:v>1998</c:v>
                </c:pt>
                <c:pt idx="9">
                  <c:v>1999</c:v>
                </c:pt>
              </c:numCache>
            </c:numRef>
          </c:cat>
          <c:val>
            <c:numRef>
              <c:f>'data_km_infra_indexed_AC-13'!$C$5:$C$15</c:f>
              <c:numCache>
                <c:ptCount val="11"/>
                <c:pt idx="0">
                  <c:v>102.59695132195934</c:v>
                </c:pt>
                <c:pt idx="1">
                  <c:v>101.877166989965</c:v>
                </c:pt>
                <c:pt idx="2">
                  <c:v>100.59453803974276</c:v>
                </c:pt>
                <c:pt idx="3">
                  <c:v>100</c:v>
                </c:pt>
                <c:pt idx="4">
                  <c:v>98.71507995906585</c:v>
                </c:pt>
                <c:pt idx="5">
                  <c:v>97.84198347359899</c:v>
                </c:pt>
                <c:pt idx="6">
                  <c:v>96.93757541506926</c:v>
                </c:pt>
                <c:pt idx="7">
                  <c:v>96.7092300407814</c:v>
                </c:pt>
                <c:pt idx="8">
                  <c:v>96.46637442531808</c:v>
                </c:pt>
                <c:pt idx="9">
                  <c:v>95.7255884284645</c:v>
                </c:pt>
                <c:pt idx="10">
                  <c:v>94.98995738571274</c:v>
                </c:pt>
              </c:numCache>
            </c:numRef>
          </c:val>
          <c:smooth val="0"/>
        </c:ser>
        <c:ser>
          <c:idx val="3"/>
          <c:order val="2"/>
          <c:tx>
            <c:strRef>
              <c:f>'data_km_infra_indexed_AC-13'!$D$4</c:f>
              <c:strCache>
                <c:ptCount val="1"/>
                <c:pt idx="0">
                  <c:v>Inland waterways</c:v>
                </c:pt>
              </c:strCache>
            </c:strRef>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'data_km_infra_indexed_AC-13'!$A$5:$A$14</c:f>
              <c:numCache>
                <c:ptCount val="10"/>
                <c:pt idx="0">
                  <c:v>1990</c:v>
                </c:pt>
                <c:pt idx="1">
                  <c:v>1991</c:v>
                </c:pt>
                <c:pt idx="2">
                  <c:v>1992</c:v>
                </c:pt>
                <c:pt idx="3">
                  <c:v>1993</c:v>
                </c:pt>
                <c:pt idx="4">
                  <c:v>1994</c:v>
                </c:pt>
                <c:pt idx="5">
                  <c:v>1995</c:v>
                </c:pt>
                <c:pt idx="6">
                  <c:v>1996</c:v>
                </c:pt>
                <c:pt idx="7">
                  <c:v>1997</c:v>
                </c:pt>
                <c:pt idx="8">
                  <c:v>1998</c:v>
                </c:pt>
                <c:pt idx="9">
                  <c:v>1999</c:v>
                </c:pt>
              </c:numCache>
            </c:numRef>
          </c:cat>
          <c:val>
            <c:numRef>
              <c:f>'data_km_infra_indexed_AC-13'!$D$5:$D$15</c:f>
              <c:numCache>
                <c:ptCount val="11"/>
                <c:pt idx="0">
                  <c:v>103.51854963003002</c:v>
                </c:pt>
                <c:pt idx="1">
                  <c:v>103.51854963003002</c:v>
                </c:pt>
                <c:pt idx="2">
                  <c:v>103.51854963003002</c:v>
                </c:pt>
                <c:pt idx="3">
                  <c:v>100</c:v>
                </c:pt>
                <c:pt idx="4">
                  <c:v>99.75164897774337</c:v>
                </c:pt>
                <c:pt idx="5">
                  <c:v>100.6690868717267</c:v>
                </c:pt>
                <c:pt idx="6">
                  <c:v>98.21552486066778</c:v>
                </c:pt>
                <c:pt idx="7">
                  <c:v>98.21552486066778</c:v>
                </c:pt>
                <c:pt idx="8">
                  <c:v>98.01976581959491</c:v>
                </c:pt>
                <c:pt idx="9">
                  <c:v>98.03437470325707</c:v>
                </c:pt>
                <c:pt idx="10">
                  <c:v>98.19507242354076</c:v>
                </c:pt>
              </c:numCache>
            </c:numRef>
          </c:val>
          <c:smooth val="0"/>
        </c:ser>
        <c:ser>
          <c:idx val="4"/>
          <c:order val="3"/>
          <c:tx>
            <c:strRef>
              <c:f>'data_km_infra_indexed_AC-13'!$E$4</c:f>
              <c:strCache>
                <c:ptCount val="1"/>
                <c:pt idx="0">
                  <c:v>Oil pipelines (AC-5)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'data_km_infra_indexed_AC-13'!$A$5:$A$14</c:f>
              <c:numCache>
                <c:ptCount val="10"/>
                <c:pt idx="0">
                  <c:v>1990</c:v>
                </c:pt>
                <c:pt idx="1">
                  <c:v>1991</c:v>
                </c:pt>
                <c:pt idx="2">
                  <c:v>1992</c:v>
                </c:pt>
                <c:pt idx="3">
                  <c:v>1993</c:v>
                </c:pt>
                <c:pt idx="4">
                  <c:v>1994</c:v>
                </c:pt>
                <c:pt idx="5">
                  <c:v>1995</c:v>
                </c:pt>
                <c:pt idx="6">
                  <c:v>1996</c:v>
                </c:pt>
                <c:pt idx="7">
                  <c:v>1997</c:v>
                </c:pt>
                <c:pt idx="8">
                  <c:v>1998</c:v>
                </c:pt>
                <c:pt idx="9">
                  <c:v>1999</c:v>
                </c:pt>
              </c:numCache>
            </c:numRef>
          </c:cat>
          <c:val>
            <c:numRef>
              <c:f>'data_km_infra_indexed_AC-13'!$E$5:$E$15</c:f>
              <c:numCache>
                <c:ptCount val="11"/>
                <c:pt idx="3">
                  <c:v>100</c:v>
                </c:pt>
                <c:pt idx="4">
                  <c:v>103.92491467576792</c:v>
                </c:pt>
                <c:pt idx="5">
                  <c:v>103.92491467576792</c:v>
                </c:pt>
                <c:pt idx="6">
                  <c:v>107.2098976109215</c:v>
                </c:pt>
                <c:pt idx="7">
                  <c:v>107.23122866894197</c:v>
                </c:pt>
                <c:pt idx="8">
                  <c:v>107.23122866894197</c:v>
                </c:pt>
                <c:pt idx="9">
                  <c:v>109.38566552901024</c:v>
                </c:pt>
                <c:pt idx="10">
                  <c:v>109.38566552901024</c:v>
                </c:pt>
              </c:numCache>
            </c:numRef>
          </c:val>
          <c:smooth val="0"/>
        </c:ser>
        <c:axId val="10846793"/>
        <c:axId val="30512274"/>
      </c:lineChart>
      <c:catAx>
        <c:axId val="10846793"/>
        <c:scaling>
          <c:orientation val="minMax"/>
        </c:scaling>
        <c:axPos val="b"/>
        <c:delete val="0"/>
        <c:numFmt formatCode="General" sourceLinked="1"/>
        <c:majorTickMark val="out"/>
        <c:minorTickMark val="none"/>
        <c:tickLblPos val="nextTo"/>
        <c:crossAx val="30512274"/>
        <c:crosses val="autoZero"/>
        <c:auto val="1"/>
        <c:lblOffset val="100"/>
        <c:tickLblSkip val="1"/>
        <c:noMultiLvlLbl val="0"/>
      </c:catAx>
      <c:valAx>
        <c:axId val="30512274"/>
        <c:scaling>
          <c:orientation val="minMax"/>
          <c:max val="150"/>
          <c:min val="80"/>
        </c:scaling>
        <c:axPos val="l"/>
        <c:title>
          <c:tx>
            <c:rich>
              <a:bodyPr vert="horz" rot="-5400000" anchor="ctr"/>
              <a:lstStyle/>
              <a:p>
                <a:pPr algn="ctr">
                  <a:defRPr/>
                </a:pPr>
                <a:r>
                  <a:rPr lang="en-US" cap="none" sz="1600" b="0" i="0" u="none" baseline="0"/>
                  <a:t>Index (1993 = 100)</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0846793"/>
        <c:crossesAt val="1"/>
        <c:crossBetween val="midCat"/>
        <c:dispUnits/>
      </c:valAx>
      <c:spPr>
        <a:noFill/>
      </c:spPr>
    </c:plotArea>
    <c:legend>
      <c:legendPos val="b"/>
      <c:layout>
        <c:manualLayout>
          <c:xMode val="edge"/>
          <c:yMode val="edge"/>
          <c:x val="0"/>
          <c:y val="0.92225"/>
          <c:w val="0.99175"/>
          <c:h val="0.071"/>
        </c:manualLayout>
      </c:layout>
      <c:overlay val="0"/>
      <c:spPr>
        <a:ln w="3175">
          <a:noFill/>
        </a:ln>
      </c:spPr>
      <c:txPr>
        <a:bodyPr vert="horz" rot="0"/>
        <a:lstStyle/>
        <a:p>
          <a:pPr>
            <a:defRPr lang="en-US" cap="none" sz="1600" b="0" i="0" u="none" baseline="0"/>
          </a:pPr>
        </a:p>
      </c:txPr>
    </c:legend>
    <c:plotVisOnly val="1"/>
    <c:dispBlanksAs val="gap"/>
    <c:showDLblsOverMax val="0"/>
  </c:chart>
  <c:spPr>
    <a:noFill/>
    <a:ln>
      <a:noFill/>
    </a:ln>
  </c:spPr>
  <c:txPr>
    <a:bodyPr vert="horz" rot="0"/>
    <a:lstStyle/>
    <a:p>
      <a:pPr>
        <a:defRPr lang="en-US" cap="none" sz="15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
          <c:w val="0.98425"/>
          <c:h val="0.92825"/>
        </c:manualLayout>
      </c:layout>
      <c:barChart>
        <c:barDir val="bar"/>
        <c:grouping val="clustered"/>
        <c:varyColors val="0"/>
        <c:ser>
          <c:idx val="0"/>
          <c:order val="0"/>
          <c:tx>
            <c:strRef>
              <c:f>data_dens_ordered_surface!$B$36</c:f>
              <c:strCache>
                <c:ptCount val="1"/>
                <c:pt idx="0">
                  <c:v>Per capita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data_dens_ordered_surface!$A$37:$A$66</c:f>
              <c:strCache>
                <c:ptCount val="30"/>
                <c:pt idx="0">
                  <c:v>AC-13</c:v>
                </c:pt>
                <c:pt idx="1">
                  <c:v>EU-15</c:v>
                </c:pt>
                <c:pt idx="2">
                  <c:v>Finland</c:v>
                </c:pt>
                <c:pt idx="3">
                  <c:v>Sweden</c:v>
                </c:pt>
                <c:pt idx="4">
                  <c:v>Estonia</c:v>
                </c:pt>
                <c:pt idx="5">
                  <c:v>Latvia</c:v>
                </c:pt>
                <c:pt idx="6">
                  <c:v>Ireland</c:v>
                </c:pt>
                <c:pt idx="7">
                  <c:v>Lithuania</c:v>
                </c:pt>
                <c:pt idx="8">
                  <c:v>Bulgaria</c:v>
                </c:pt>
                <c:pt idx="9">
                  <c:v>Spain</c:v>
                </c:pt>
                <c:pt idx="10">
                  <c:v>Greece</c:v>
                </c:pt>
                <c:pt idx="11">
                  <c:v>Turkey</c:v>
                </c:pt>
                <c:pt idx="12">
                  <c:v>Cyprus</c:v>
                </c:pt>
                <c:pt idx="13">
                  <c:v>Romania</c:v>
                </c:pt>
                <c:pt idx="14">
                  <c:v>Austria</c:v>
                </c:pt>
                <c:pt idx="15">
                  <c:v>Slovenia</c:v>
                </c:pt>
                <c:pt idx="16">
                  <c:v>France</c:v>
                </c:pt>
                <c:pt idx="17">
                  <c:v>Portugal</c:v>
                </c:pt>
                <c:pt idx="18">
                  <c:v>Hungary</c:v>
                </c:pt>
                <c:pt idx="19">
                  <c:v>Slovakia</c:v>
                </c:pt>
                <c:pt idx="20">
                  <c:v>Denmark</c:v>
                </c:pt>
                <c:pt idx="21">
                  <c:v>Poland</c:v>
                </c:pt>
                <c:pt idx="22">
                  <c:v>Czech Rep.</c:v>
                </c:pt>
                <c:pt idx="23">
                  <c:v>Luxembourg</c:v>
                </c:pt>
                <c:pt idx="24">
                  <c:v>Italy</c:v>
                </c:pt>
                <c:pt idx="25">
                  <c:v>Germany</c:v>
                </c:pt>
                <c:pt idx="26">
                  <c:v>United Kingdom</c:v>
                </c:pt>
                <c:pt idx="27">
                  <c:v>Belgium</c:v>
                </c:pt>
                <c:pt idx="28">
                  <c:v>Netherlands</c:v>
                </c:pt>
                <c:pt idx="29">
                  <c:v>Malta</c:v>
                </c:pt>
              </c:strCache>
            </c:strRef>
          </c:cat>
          <c:val>
            <c:numRef>
              <c:f>data_dens_ordered_surface!$B$37:$B$66</c:f>
              <c:numCache>
                <c:ptCount val="30"/>
                <c:pt idx="0">
                  <c:v>100</c:v>
                </c:pt>
                <c:pt idx="1">
                  <c:v>138.7983506810172</c:v>
                </c:pt>
                <c:pt idx="2">
                  <c:v>202.27136465573042</c:v>
                </c:pt>
                <c:pt idx="3">
                  <c:v>208.699412167431</c:v>
                </c:pt>
                <c:pt idx="4">
                  <c:v>405.1412483896402</c:v>
                </c:pt>
                <c:pt idx="5">
                  <c:v>315.9513879134673</c:v>
                </c:pt>
                <c:pt idx="6">
                  <c:v>346.1646737599757</c:v>
                </c:pt>
                <c:pt idx="7">
                  <c:v>261.90362463998105</c:v>
                </c:pt>
                <c:pt idx="8">
                  <c:v>59.57789705504651</c:v>
                </c:pt>
                <c:pt idx="9">
                  <c:v>55.49691161450847</c:v>
                </c:pt>
                <c:pt idx="10">
                  <c:v>49.12715608527226</c:v>
                </c:pt>
                <c:pt idx="11">
                  <c:v>79.36494016737564</c:v>
                </c:pt>
                <c:pt idx="12">
                  <c:v>191.34509621881313</c:v>
                </c:pt>
                <c:pt idx="13">
                  <c:v>43.56751669228885</c:v>
                </c:pt>
                <c:pt idx="14">
                  <c:v>176.1923038868541</c:v>
                </c:pt>
                <c:pt idx="15">
                  <c:v>252.20292232564216</c:v>
                </c:pt>
                <c:pt idx="16">
                  <c:v>222.93079035027898</c:v>
                </c:pt>
                <c:pt idx="17">
                  <c:v>92.32255620782847</c:v>
                </c:pt>
                <c:pt idx="18">
                  <c:v>40.02040358260944</c:v>
                </c:pt>
                <c:pt idx="19">
                  <c:v>43.966010208247084</c:v>
                </c:pt>
                <c:pt idx="20">
                  <c:v>180.39519579478144</c:v>
                </c:pt>
                <c:pt idx="21">
                  <c:v>131.88052596490235</c:v>
                </c:pt>
                <c:pt idx="22">
                  <c:v>165.98890314272853</c:v>
                </c:pt>
                <c:pt idx="23">
                  <c:v>174.18248492074017</c:v>
                </c:pt>
                <c:pt idx="24">
                  <c:v>194.0435165403786</c:v>
                </c:pt>
                <c:pt idx="25">
                  <c:v>105.89341486906511</c:v>
                </c:pt>
                <c:pt idx="26">
                  <c:v>89.64426746534794</c:v>
                </c:pt>
                <c:pt idx="27">
                  <c:v>191.29812635168676</c:v>
                </c:pt>
                <c:pt idx="28">
                  <c:v>98.90984509805911</c:v>
                </c:pt>
                <c:pt idx="29">
                  <c:v>68.68911328008147</c:v>
                </c:pt>
              </c:numCache>
            </c:numRef>
          </c:val>
        </c:ser>
        <c:ser>
          <c:idx val="1"/>
          <c:order val="1"/>
          <c:tx>
            <c:strRef>
              <c:f>data_dens_ordered_surface!$C$36</c:f>
              <c:strCache>
                <c:ptCount val="1"/>
                <c:pt idx="0">
                  <c:v>Per surface area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data_dens_ordered_surface!$A$37:$A$66</c:f>
              <c:strCache>
                <c:ptCount val="30"/>
                <c:pt idx="0">
                  <c:v>AC-13</c:v>
                </c:pt>
                <c:pt idx="1">
                  <c:v>EU-15</c:v>
                </c:pt>
                <c:pt idx="2">
                  <c:v>Finland</c:v>
                </c:pt>
                <c:pt idx="3">
                  <c:v>Sweden</c:v>
                </c:pt>
                <c:pt idx="4">
                  <c:v>Estonia</c:v>
                </c:pt>
                <c:pt idx="5">
                  <c:v>Latvia</c:v>
                </c:pt>
                <c:pt idx="6">
                  <c:v>Ireland</c:v>
                </c:pt>
                <c:pt idx="7">
                  <c:v>Lithuania</c:v>
                </c:pt>
                <c:pt idx="8">
                  <c:v>Bulgaria</c:v>
                </c:pt>
                <c:pt idx="9">
                  <c:v>Spain</c:v>
                </c:pt>
                <c:pt idx="10">
                  <c:v>Greece</c:v>
                </c:pt>
                <c:pt idx="11">
                  <c:v>Turkey</c:v>
                </c:pt>
                <c:pt idx="12">
                  <c:v>Cyprus</c:v>
                </c:pt>
                <c:pt idx="13">
                  <c:v>Romania</c:v>
                </c:pt>
                <c:pt idx="14">
                  <c:v>Austria</c:v>
                </c:pt>
                <c:pt idx="15">
                  <c:v>Slovenia</c:v>
                </c:pt>
                <c:pt idx="16">
                  <c:v>France</c:v>
                </c:pt>
                <c:pt idx="17">
                  <c:v>Portugal</c:v>
                </c:pt>
                <c:pt idx="18">
                  <c:v>Hungary</c:v>
                </c:pt>
                <c:pt idx="19">
                  <c:v>Slovakia</c:v>
                </c:pt>
                <c:pt idx="20">
                  <c:v>Denmark</c:v>
                </c:pt>
                <c:pt idx="21">
                  <c:v>Poland</c:v>
                </c:pt>
                <c:pt idx="22">
                  <c:v>Czech Rep.</c:v>
                </c:pt>
                <c:pt idx="23">
                  <c:v>Luxembourg</c:v>
                </c:pt>
                <c:pt idx="24">
                  <c:v>Italy</c:v>
                </c:pt>
                <c:pt idx="25">
                  <c:v>Germany</c:v>
                </c:pt>
                <c:pt idx="26">
                  <c:v>United Kingdom</c:v>
                </c:pt>
                <c:pt idx="27">
                  <c:v>Belgium</c:v>
                </c:pt>
                <c:pt idx="28">
                  <c:v>Netherlands</c:v>
                </c:pt>
                <c:pt idx="29">
                  <c:v>Malta</c:v>
                </c:pt>
              </c:strCache>
            </c:strRef>
          </c:cat>
          <c:val>
            <c:numRef>
              <c:f>data_dens_ordered_surface!$C$37:$C$66</c:f>
              <c:numCache>
                <c:ptCount val="30"/>
                <c:pt idx="0">
                  <c:v>100</c:v>
                </c:pt>
                <c:pt idx="1">
                  <c:v>175.34634472297682</c:v>
                </c:pt>
                <c:pt idx="2">
                  <c:v>33.69080127160329</c:v>
                </c:pt>
                <c:pt idx="3">
                  <c:v>44.86547971283892</c:v>
                </c:pt>
                <c:pt idx="4">
                  <c:v>141.9280410317888</c:v>
                </c:pt>
                <c:pt idx="5">
                  <c:v>130.922656247539</c:v>
                </c:pt>
                <c:pt idx="6">
                  <c:v>199.45547256254196</c:v>
                </c:pt>
                <c:pt idx="7">
                  <c:v>162.2891399186909</c:v>
                </c:pt>
                <c:pt idx="8">
                  <c:v>48.436693571248995</c:v>
                </c:pt>
                <c:pt idx="9">
                  <c:v>47.19337383289912</c:v>
                </c:pt>
                <c:pt idx="10">
                  <c:v>42.78905318425375</c:v>
                </c:pt>
                <c:pt idx="11">
                  <c:v>72.18164253583578</c:v>
                </c:pt>
                <c:pt idx="12">
                  <c:v>174.2853277370483</c:v>
                </c:pt>
                <c:pt idx="13">
                  <c:v>44.94561866363444</c:v>
                </c:pt>
                <c:pt idx="14">
                  <c:v>185.5018372778166</c:v>
                </c:pt>
                <c:pt idx="15">
                  <c:v>269.7801419832359</c:v>
                </c:pt>
                <c:pt idx="16">
                  <c:v>259.9881005748565</c:v>
                </c:pt>
                <c:pt idx="17">
                  <c:v>109.34690114817435</c:v>
                </c:pt>
                <c:pt idx="18">
                  <c:v>47.54894350172206</c:v>
                </c:pt>
                <c:pt idx="19">
                  <c:v>52.824859486999756</c:v>
                </c:pt>
                <c:pt idx="20">
                  <c:v>242.53178498519063</c:v>
                </c:pt>
                <c:pt idx="21">
                  <c:v>178.2299408245928</c:v>
                </c:pt>
                <c:pt idx="22">
                  <c:v>236.80506149628525</c:v>
                </c:pt>
                <c:pt idx="23">
                  <c:v>292.9056130557112</c:v>
                </c:pt>
                <c:pt idx="24">
                  <c:v>405.17262454467664</c:v>
                </c:pt>
                <c:pt idx="25">
                  <c:v>265.9003478607046</c:v>
                </c:pt>
                <c:pt idx="26">
                  <c:v>238.48814678282318</c:v>
                </c:pt>
                <c:pt idx="27">
                  <c:v>698.7444707179376</c:v>
                </c:pt>
                <c:pt idx="28">
                  <c:v>408.88034868180495</c:v>
                </c:pt>
                <c:pt idx="29">
                  <c:v>912.2415421447854</c:v>
                </c:pt>
              </c:numCache>
            </c:numRef>
          </c:val>
        </c:ser>
        <c:axId val="6175011"/>
        <c:axId val="55575100"/>
      </c:barChart>
      <c:catAx>
        <c:axId val="6175011"/>
        <c:scaling>
          <c:orientation val="maxMin"/>
        </c:scaling>
        <c:axPos val="l"/>
        <c:delete val="0"/>
        <c:numFmt formatCode="General" sourceLinked="1"/>
        <c:majorTickMark val="out"/>
        <c:minorTickMark val="none"/>
        <c:tickLblPos val="nextTo"/>
        <c:txPr>
          <a:bodyPr vert="horz" rot="0"/>
          <a:lstStyle/>
          <a:p>
            <a:pPr>
              <a:defRPr lang="en-US" cap="none" sz="1600" b="0" i="0" u="none" baseline="0"/>
            </a:pPr>
          </a:p>
        </c:txPr>
        <c:crossAx val="55575100"/>
        <c:crosses val="autoZero"/>
        <c:auto val="1"/>
        <c:lblOffset val="100"/>
        <c:tickLblSkip val="1"/>
        <c:noMultiLvlLbl val="0"/>
      </c:catAx>
      <c:valAx>
        <c:axId val="55575100"/>
        <c:scaling>
          <c:orientation val="minMax"/>
        </c:scaling>
        <c:axPos val="t"/>
        <c:title>
          <c:tx>
            <c:rich>
              <a:bodyPr vert="horz" rot="0" anchor="ctr"/>
              <a:lstStyle/>
              <a:p>
                <a:pPr algn="ctr">
                  <a:defRPr/>
                </a:pPr>
                <a:r>
                  <a:rPr lang="en-US" cap="none" sz="1975" b="0" i="0" u="none" baseline="0"/>
                  <a:t>Index (AC-13 = 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6175011"/>
        <c:crosses val="max"/>
        <c:crossBetween val="between"/>
        <c:dispUnits/>
      </c:valAx>
      <c:spPr>
        <a:noFill/>
        <a:ln w="12700">
          <a:solidFill>
            <a:srgbClr val="808080"/>
          </a:solidFill>
        </a:ln>
      </c:spPr>
    </c:plotArea>
    <c:legend>
      <c:legendPos val="r"/>
      <c:layout>
        <c:manualLayout>
          <c:xMode val="edge"/>
          <c:yMode val="edge"/>
          <c:x val="0.019"/>
          <c:y val="0.924"/>
          <c:w val="0.4"/>
          <c:h val="0.076"/>
        </c:manualLayout>
      </c:layout>
      <c:overlay val="0"/>
      <c:spPr>
        <a:noFill/>
        <a:ln w="3175">
          <a:noFill/>
        </a:ln>
      </c:spPr>
      <c:txPr>
        <a:bodyPr vert="horz" rot="0"/>
        <a:lstStyle/>
        <a:p>
          <a:pPr>
            <a:defRPr lang="en-US" cap="none" sz="2000" b="0" i="0" u="none" baseline="0"/>
          </a:pPr>
        </a:p>
      </c:txPr>
    </c:legend>
    <c:plotVisOnly val="1"/>
    <c:dispBlanksAs val="gap"/>
    <c:showDLblsOverMax val="0"/>
  </c:chart>
  <c:spPr>
    <a:noFill/>
    <a:ln>
      <a:noFill/>
    </a:ln>
  </c:spPr>
  <c:txPr>
    <a:bodyPr vert="horz" rot="0"/>
    <a:lstStyle/>
    <a:p>
      <a:pPr>
        <a:defRPr lang="en-US" cap="none" sz="19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275"/>
          <c:w val="0.98125"/>
          <c:h val="0.922"/>
        </c:manualLayout>
      </c:layout>
      <c:barChart>
        <c:barDir val="bar"/>
        <c:grouping val="clustered"/>
        <c:varyColors val="0"/>
        <c:ser>
          <c:idx val="0"/>
          <c:order val="0"/>
          <c:tx>
            <c:strRef>
              <c:f>data_dens_ordered_surface!$K$36</c:f>
              <c:strCache>
                <c:ptCount val="1"/>
                <c:pt idx="0">
                  <c:v>Per capita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data_dens_ordered_surface!$J$37:$J$66</c:f>
              <c:strCache>
                <c:ptCount val="30"/>
                <c:pt idx="0">
                  <c:v>AC-11</c:v>
                </c:pt>
                <c:pt idx="1">
                  <c:v>EU-15</c:v>
                </c:pt>
                <c:pt idx="2">
                  <c:v>Finland</c:v>
                </c:pt>
                <c:pt idx="3">
                  <c:v>Sweden</c:v>
                </c:pt>
                <c:pt idx="4">
                  <c:v>Estonia</c:v>
                </c:pt>
                <c:pt idx="5">
                  <c:v>Latvia</c:v>
                </c:pt>
                <c:pt idx="6">
                  <c:v>Ireland</c:v>
                </c:pt>
                <c:pt idx="7">
                  <c:v>Lithuania</c:v>
                </c:pt>
                <c:pt idx="8">
                  <c:v>Bulgaria</c:v>
                </c:pt>
                <c:pt idx="9">
                  <c:v>Spain</c:v>
                </c:pt>
                <c:pt idx="10">
                  <c:v>Greece</c:v>
                </c:pt>
                <c:pt idx="11">
                  <c:v>Turkey</c:v>
                </c:pt>
                <c:pt idx="12">
                  <c:v>Cyprus</c:v>
                </c:pt>
                <c:pt idx="13">
                  <c:v>Romania</c:v>
                </c:pt>
                <c:pt idx="14">
                  <c:v>Austria</c:v>
                </c:pt>
                <c:pt idx="15">
                  <c:v>Slovenia</c:v>
                </c:pt>
                <c:pt idx="16">
                  <c:v>France</c:v>
                </c:pt>
                <c:pt idx="17">
                  <c:v>Portugal</c:v>
                </c:pt>
                <c:pt idx="18">
                  <c:v>Hungary</c:v>
                </c:pt>
                <c:pt idx="19">
                  <c:v>Slovakia</c:v>
                </c:pt>
                <c:pt idx="20">
                  <c:v>Denmark</c:v>
                </c:pt>
                <c:pt idx="21">
                  <c:v>Poland</c:v>
                </c:pt>
                <c:pt idx="22">
                  <c:v>Czech Rep.</c:v>
                </c:pt>
                <c:pt idx="23">
                  <c:v>Luxembourg</c:v>
                </c:pt>
                <c:pt idx="24">
                  <c:v>Italy</c:v>
                </c:pt>
                <c:pt idx="25">
                  <c:v>Germany</c:v>
                </c:pt>
                <c:pt idx="26">
                  <c:v>United Kingdom</c:v>
                </c:pt>
                <c:pt idx="27">
                  <c:v>Belgium</c:v>
                </c:pt>
                <c:pt idx="28">
                  <c:v>Netherlands</c:v>
                </c:pt>
                <c:pt idx="29">
                  <c:v>Malta</c:v>
                </c:pt>
              </c:strCache>
            </c:strRef>
          </c:cat>
          <c:val>
            <c:numRef>
              <c:f>data_dens_ordered_surface!$K$37:$K$66</c:f>
              <c:numCache>
                <c:ptCount val="30"/>
                <c:pt idx="0">
                  <c:v>100</c:v>
                </c:pt>
                <c:pt idx="1">
                  <c:v>136.27643222895927</c:v>
                </c:pt>
                <c:pt idx="2">
                  <c:v>381.4382432924673</c:v>
                </c:pt>
                <c:pt idx="3">
                  <c:v>373.0575389149633</c:v>
                </c:pt>
                <c:pt idx="4">
                  <c:v>223.7195209612072</c:v>
                </c:pt>
                <c:pt idx="5">
                  <c:v>330.1355338100963</c:v>
                </c:pt>
                <c:pt idx="6">
                  <c:v>172.64033663660808</c:v>
                </c:pt>
                <c:pt idx="7">
                  <c:v>180.71948687988404</c:v>
                </c:pt>
                <c:pt idx="8">
                  <c:v>174.08306348775682</c:v>
                </c:pt>
                <c:pt idx="9">
                  <c:v>104.6991639990911</c:v>
                </c:pt>
                <c:pt idx="10">
                  <c:v>73.24593649154278</c:v>
                </c:pt>
                <c:pt idx="11">
                  <c:v>44.72432212210963</c:v>
                </c:pt>
                <c:pt idx="12">
                  <c:v>0</c:v>
                </c:pt>
                <c:pt idx="13">
                  <c:v>163.93095087813708</c:v>
                </c:pt>
                <c:pt idx="14">
                  <c:v>234.04120199379332</c:v>
                </c:pt>
                <c:pt idx="15">
                  <c:v>202.96329537785462</c:v>
                </c:pt>
                <c:pt idx="16">
                  <c:v>180.87407933969382</c:v>
                </c:pt>
                <c:pt idx="17">
                  <c:v>93.91023885894886</c:v>
                </c:pt>
                <c:pt idx="18">
                  <c:v>253.17024130089467</c:v>
                </c:pt>
                <c:pt idx="19">
                  <c:v>227.78530300856383</c:v>
                </c:pt>
                <c:pt idx="20">
                  <c:v>143.0882494218746</c:v>
                </c:pt>
                <c:pt idx="21">
                  <c:v>201.12041249015925</c:v>
                </c:pt>
                <c:pt idx="22">
                  <c:v>306.90078801363285</c:v>
                </c:pt>
                <c:pt idx="23">
                  <c:v>230.72087011316006</c:v>
                </c:pt>
                <c:pt idx="24">
                  <c:v>93.5853914133444</c:v>
                </c:pt>
                <c:pt idx="25">
                  <c:v>155.72716026574787</c:v>
                </c:pt>
                <c:pt idx="26">
                  <c:v>96.29680408280792</c:v>
                </c:pt>
                <c:pt idx="27">
                  <c:v>113.94925886252723</c:v>
                </c:pt>
                <c:pt idx="28">
                  <c:v>59.897450622185445</c:v>
                </c:pt>
                <c:pt idx="29">
                  <c:v>0</c:v>
                </c:pt>
              </c:numCache>
            </c:numRef>
          </c:val>
        </c:ser>
        <c:ser>
          <c:idx val="1"/>
          <c:order val="1"/>
          <c:tx>
            <c:strRef>
              <c:f>data_dens_ordered_surface!$L$36</c:f>
              <c:strCache>
                <c:ptCount val="1"/>
                <c:pt idx="0">
                  <c:v>Per surface area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data_dens_ordered_surface!$J$37:$J$66</c:f>
              <c:strCache>
                <c:ptCount val="30"/>
                <c:pt idx="0">
                  <c:v>AC-11</c:v>
                </c:pt>
                <c:pt idx="1">
                  <c:v>EU-15</c:v>
                </c:pt>
                <c:pt idx="2">
                  <c:v>Finland</c:v>
                </c:pt>
                <c:pt idx="3">
                  <c:v>Sweden</c:v>
                </c:pt>
                <c:pt idx="4">
                  <c:v>Estonia</c:v>
                </c:pt>
                <c:pt idx="5">
                  <c:v>Latvia</c:v>
                </c:pt>
                <c:pt idx="6">
                  <c:v>Ireland</c:v>
                </c:pt>
                <c:pt idx="7">
                  <c:v>Lithuania</c:v>
                </c:pt>
                <c:pt idx="8">
                  <c:v>Bulgaria</c:v>
                </c:pt>
                <c:pt idx="9">
                  <c:v>Spain</c:v>
                </c:pt>
                <c:pt idx="10">
                  <c:v>Greece</c:v>
                </c:pt>
                <c:pt idx="11">
                  <c:v>Turkey</c:v>
                </c:pt>
                <c:pt idx="12">
                  <c:v>Cyprus</c:v>
                </c:pt>
                <c:pt idx="13">
                  <c:v>Romania</c:v>
                </c:pt>
                <c:pt idx="14">
                  <c:v>Austria</c:v>
                </c:pt>
                <c:pt idx="15">
                  <c:v>Slovenia</c:v>
                </c:pt>
                <c:pt idx="16">
                  <c:v>France</c:v>
                </c:pt>
                <c:pt idx="17">
                  <c:v>Portugal</c:v>
                </c:pt>
                <c:pt idx="18">
                  <c:v>Hungary</c:v>
                </c:pt>
                <c:pt idx="19">
                  <c:v>Slovakia</c:v>
                </c:pt>
                <c:pt idx="20">
                  <c:v>Denmark</c:v>
                </c:pt>
                <c:pt idx="21">
                  <c:v>Poland</c:v>
                </c:pt>
                <c:pt idx="22">
                  <c:v>Czech Rep.</c:v>
                </c:pt>
                <c:pt idx="23">
                  <c:v>Luxembourg</c:v>
                </c:pt>
                <c:pt idx="24">
                  <c:v>Italy</c:v>
                </c:pt>
                <c:pt idx="25">
                  <c:v>Germany</c:v>
                </c:pt>
                <c:pt idx="26">
                  <c:v>United Kingdom</c:v>
                </c:pt>
                <c:pt idx="27">
                  <c:v>Belgium</c:v>
                </c:pt>
                <c:pt idx="28">
                  <c:v>Netherlands</c:v>
                </c:pt>
                <c:pt idx="29">
                  <c:v>Malta</c:v>
                </c:pt>
              </c:strCache>
            </c:strRef>
          </c:cat>
          <c:val>
            <c:numRef>
              <c:f>data_dens_ordered_surface!$L$37:$L$66</c:f>
              <c:numCache>
                <c:ptCount val="30"/>
                <c:pt idx="0">
                  <c:v>100</c:v>
                </c:pt>
                <c:pt idx="1">
                  <c:v>172.44472401251286</c:v>
                </c:pt>
                <c:pt idx="2">
                  <c:v>63.63820394278229</c:v>
                </c:pt>
                <c:pt idx="3">
                  <c:v>80.33108923503097</c:v>
                </c:pt>
                <c:pt idx="4">
                  <c:v>78.50229839063446</c:v>
                </c:pt>
                <c:pt idx="5">
                  <c:v>137.02618206732248</c:v>
                </c:pt>
                <c:pt idx="6">
                  <c:v>99.63736417256857</c:v>
                </c:pt>
                <c:pt idx="7">
                  <c:v>112.16818163274571</c:v>
                </c:pt>
                <c:pt idx="8">
                  <c:v>141.76289885777587</c:v>
                </c:pt>
                <c:pt idx="9">
                  <c:v>89.18096542787556</c:v>
                </c:pt>
                <c:pt idx="10">
                  <c:v>63.9015413514926</c:v>
                </c:pt>
                <c:pt idx="11">
                  <c:v>40.74352303164947</c:v>
                </c:pt>
                <c:pt idx="12">
                  <c:v>0</c:v>
                </c:pt>
                <c:pt idx="13">
                  <c:v>169.39565228183275</c:v>
                </c:pt>
                <c:pt idx="14">
                  <c:v>246.81431563661792</c:v>
                </c:pt>
                <c:pt idx="15">
                  <c:v>217.46737639542283</c:v>
                </c:pt>
                <c:pt idx="16">
                  <c:v>211.2888084800303</c:v>
                </c:pt>
                <c:pt idx="17">
                  <c:v>111.41107105510257</c:v>
                </c:pt>
                <c:pt idx="18">
                  <c:v>301.29283808355234</c:v>
                </c:pt>
                <c:pt idx="19">
                  <c:v>274.1345273596631</c:v>
                </c:pt>
                <c:pt idx="20">
                  <c:v>192.69232244477334</c:v>
                </c:pt>
                <c:pt idx="21">
                  <c:v>272.25313443717334</c:v>
                </c:pt>
                <c:pt idx="22">
                  <c:v>438.55763305160184</c:v>
                </c:pt>
                <c:pt idx="23">
                  <c:v>388.6215129750722</c:v>
                </c:pt>
                <c:pt idx="24">
                  <c:v>195.73377142480157</c:v>
                </c:pt>
                <c:pt idx="25">
                  <c:v>391.6796977153317</c:v>
                </c:pt>
                <c:pt idx="26">
                  <c:v>256.6095972632215</c:v>
                </c:pt>
                <c:pt idx="27">
                  <c:v>416.90386149759036</c:v>
                </c:pt>
                <c:pt idx="28">
                  <c:v>248.0171997607278</c:v>
                </c:pt>
                <c:pt idx="29">
                  <c:v>0</c:v>
                </c:pt>
              </c:numCache>
            </c:numRef>
          </c:val>
        </c:ser>
        <c:axId val="30413853"/>
        <c:axId val="5289222"/>
      </c:barChart>
      <c:catAx>
        <c:axId val="30413853"/>
        <c:scaling>
          <c:orientation val="maxMin"/>
        </c:scaling>
        <c:axPos val="l"/>
        <c:delete val="0"/>
        <c:numFmt formatCode="General" sourceLinked="1"/>
        <c:majorTickMark val="out"/>
        <c:minorTickMark val="none"/>
        <c:tickLblPos val="nextTo"/>
        <c:txPr>
          <a:bodyPr vert="horz" rot="0"/>
          <a:lstStyle/>
          <a:p>
            <a:pPr>
              <a:defRPr lang="en-US" cap="none" sz="1600" b="0" i="0" u="none" baseline="0"/>
            </a:pPr>
          </a:p>
        </c:txPr>
        <c:crossAx val="5289222"/>
        <c:crosses val="autoZero"/>
        <c:auto val="1"/>
        <c:lblOffset val="100"/>
        <c:tickLblSkip val="1"/>
        <c:noMultiLvlLbl val="0"/>
      </c:catAx>
      <c:valAx>
        <c:axId val="5289222"/>
        <c:scaling>
          <c:orientation val="minMax"/>
        </c:scaling>
        <c:axPos val="t"/>
        <c:title>
          <c:tx>
            <c:rich>
              <a:bodyPr vert="horz" rot="0" anchor="ctr"/>
              <a:lstStyle/>
              <a:p>
                <a:pPr algn="ctr">
                  <a:defRPr/>
                </a:pPr>
                <a:r>
                  <a:rPr lang="en-US" cap="none" sz="2000" b="0" i="0" u="none" baseline="0"/>
                  <a:t>Index (AC-11 = 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30413853"/>
        <c:crosses val="max"/>
        <c:crossBetween val="between"/>
        <c:dispUnits/>
      </c:valAx>
      <c:spPr>
        <a:noFill/>
        <a:ln w="12700">
          <a:solidFill>
            <a:srgbClr val="808080"/>
          </a:solidFill>
        </a:ln>
      </c:spPr>
    </c:plotArea>
    <c:legend>
      <c:legendPos val="r"/>
      <c:layout>
        <c:manualLayout>
          <c:xMode val="edge"/>
          <c:yMode val="edge"/>
          <c:x val="0"/>
          <c:y val="0.9195"/>
          <c:w val="0.38425"/>
          <c:h val="0.0805"/>
        </c:manualLayout>
      </c:layout>
      <c:overlay val="0"/>
      <c:spPr>
        <a:noFill/>
        <a:ln w="3175">
          <a:noFill/>
        </a:ln>
      </c:spPr>
      <c:txPr>
        <a:bodyPr vert="horz" rot="0"/>
        <a:lstStyle/>
        <a:p>
          <a:pPr>
            <a:defRPr lang="en-US" cap="none" sz="2000" b="0" i="0" u="none" baseline="0"/>
          </a:pPr>
        </a:p>
      </c:txPr>
    </c:legend>
    <c:plotVisOnly val="1"/>
    <c:dispBlanksAs val="gap"/>
    <c:showDLblsOverMax val="0"/>
  </c:chart>
  <c:spPr>
    <a:noFill/>
    <a:ln>
      <a:noFill/>
    </a:ln>
  </c:spPr>
  <c:txPr>
    <a:bodyPr vert="horz" rot="0"/>
    <a:lstStyle/>
    <a:p>
      <a:pPr>
        <a:defRPr lang="en-US" cap="none" sz="197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Level of use: freight</a:t>
            </a:r>
          </a:p>
        </c:rich>
      </c:tx>
      <c:layout>
        <c:manualLayout>
          <c:xMode val="factor"/>
          <c:yMode val="factor"/>
          <c:x val="0.06975"/>
          <c:y val="-0.00275"/>
        </c:manualLayout>
      </c:layout>
      <c:spPr>
        <a:noFill/>
        <a:ln>
          <a:noFill/>
        </a:ln>
      </c:spPr>
    </c:title>
    <c:plotArea>
      <c:layout>
        <c:manualLayout>
          <c:xMode val="edge"/>
          <c:yMode val="edge"/>
          <c:x val="0"/>
          <c:y val="0.106"/>
          <c:w val="0.956"/>
          <c:h val="0.780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'data_level of use'!$A$16:$A$30</c:f>
              <c:strCache>
                <c:ptCount val="15"/>
                <c:pt idx="0">
                  <c:v>Estonia</c:v>
                </c:pt>
                <c:pt idx="1">
                  <c:v>Slovenia</c:v>
                </c:pt>
                <c:pt idx="2">
                  <c:v>Lithuania</c:v>
                </c:pt>
                <c:pt idx="3">
                  <c:v>Latvia</c:v>
                </c:pt>
                <c:pt idx="4">
                  <c:v>Slovak Republic</c:v>
                </c:pt>
                <c:pt idx="5">
                  <c:v>Bulgaria</c:v>
                </c:pt>
                <c:pt idx="6">
                  <c:v>Hungary</c:v>
                </c:pt>
                <c:pt idx="7">
                  <c:v>Turkey</c:v>
                </c:pt>
                <c:pt idx="8">
                  <c:v>Czech Republic</c:v>
                </c:pt>
                <c:pt idx="9">
                  <c:v>Romania</c:v>
                </c:pt>
                <c:pt idx="10">
                  <c:v>Poland</c:v>
                </c:pt>
                <c:pt idx="11">
                  <c:v>Cyprus</c:v>
                </c:pt>
                <c:pt idx="12">
                  <c:v>Malta</c:v>
                </c:pt>
                <c:pt idx="13">
                  <c:v>AC-10</c:v>
                </c:pt>
                <c:pt idx="14">
                  <c:v>EU-15</c:v>
                </c:pt>
              </c:strCache>
            </c:strRef>
          </c:cat>
          <c:val>
            <c:numRef>
              <c:f>'data_level of use'!$B$16:$B$30</c:f>
              <c:numCache>
                <c:ptCount val="15"/>
                <c:pt idx="0">
                  <c:v>5.162768031189084</c:v>
                </c:pt>
                <c:pt idx="1">
                  <c:v>4.428929765886288</c:v>
                </c:pt>
                <c:pt idx="2">
                  <c:v>2.639262580966617</c:v>
                </c:pt>
                <c:pt idx="3">
                  <c:v>2.209845640383813</c:v>
                </c:pt>
                <c:pt idx="4">
                  <c:v>1.4472677595628416</c:v>
                </c:pt>
                <c:pt idx="5">
                  <c:v>1.232147010932775</c:v>
                </c:pt>
                <c:pt idx="6">
                  <c:v>0.6815491507977355</c:v>
                </c:pt>
                <c:pt idx="7">
                  <c:v>0.6284256732708506</c:v>
                </c:pt>
                <c:pt idx="8">
                  <c:v>0.560469791556449</c:v>
                </c:pt>
                <c:pt idx="9">
                  <c:v>0.46677828692280576</c:v>
                </c:pt>
                <c:pt idx="10">
                  <c:v>0.20195973768491687</c:v>
                </c:pt>
                <c:pt idx="11">
                  <c:v>0</c:v>
                </c:pt>
                <c:pt idx="12">
                  <c:v>0</c:v>
                </c:pt>
                <c:pt idx="13">
                  <c:v>2.3837009852806257</c:v>
                </c:pt>
                <c:pt idx="14">
                  <c:v>1.6292752429690918</c:v>
                </c:pt>
              </c:numCache>
            </c:numRef>
          </c:val>
        </c:ser>
        <c:axId val="47602999"/>
        <c:axId val="25773808"/>
      </c:barChart>
      <c:catAx>
        <c:axId val="47602999"/>
        <c:scaling>
          <c:orientation val="minMax"/>
        </c:scaling>
        <c:axPos val="l"/>
        <c:delete val="0"/>
        <c:numFmt formatCode="General" sourceLinked="1"/>
        <c:majorTickMark val="out"/>
        <c:minorTickMark val="none"/>
        <c:tickLblPos val="nextTo"/>
        <c:txPr>
          <a:bodyPr vert="horz" rot="0"/>
          <a:lstStyle/>
          <a:p>
            <a:pPr>
              <a:defRPr lang="en-US" cap="none" sz="1600" b="0" i="0" u="none" baseline="0"/>
            </a:pPr>
          </a:p>
        </c:txPr>
        <c:crossAx val="25773808"/>
        <c:crosses val="autoZero"/>
        <c:auto val="1"/>
        <c:lblOffset val="100"/>
        <c:tickLblSkip val="1"/>
        <c:noMultiLvlLbl val="0"/>
      </c:catAx>
      <c:valAx>
        <c:axId val="25773808"/>
        <c:scaling>
          <c:orientation val="minMax"/>
        </c:scaling>
        <c:axPos val="b"/>
        <c:title>
          <c:tx>
            <c:rich>
              <a:bodyPr vert="horz" rot="0" anchor="ctr"/>
              <a:lstStyle/>
              <a:p>
                <a:pPr algn="ctr">
                  <a:defRPr/>
                </a:pPr>
                <a:r>
                  <a:rPr lang="en-US" cap="none" sz="1600" b="0" i="0" u="none" baseline="0"/>
                  <a:t>Million tonne-km per km of railway line</a:t>
                </a:r>
              </a:p>
            </c:rich>
          </c:tx>
          <c:layout>
            <c:manualLayout>
              <c:xMode val="factor"/>
              <c:yMode val="factor"/>
              <c:x val="-0.0095"/>
              <c:y val="-0.021"/>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600" b="0" i="0" u="none" baseline="0"/>
            </a:pPr>
          </a:p>
        </c:txPr>
        <c:crossAx val="4760299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Level of use: passengers</a:t>
            </a:r>
          </a:p>
        </c:rich>
      </c:tx>
      <c:layout>
        <c:manualLayout>
          <c:xMode val="factor"/>
          <c:yMode val="factor"/>
          <c:x val="0.038"/>
          <c:y val="-0.00825"/>
        </c:manualLayout>
      </c:layout>
      <c:spPr>
        <a:noFill/>
        <a:ln>
          <a:noFill/>
        </a:ln>
      </c:spPr>
    </c:title>
    <c:plotArea>
      <c:layout>
        <c:manualLayout>
          <c:xMode val="edge"/>
          <c:yMode val="edge"/>
          <c:x val="0"/>
          <c:y val="0.10575"/>
          <c:w val="0.908"/>
          <c:h val="0.820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'data_level of use'!$F$16:$F$30</c:f>
              <c:strCache>
                <c:ptCount val="15"/>
                <c:pt idx="0">
                  <c:v>Hungary</c:v>
                </c:pt>
                <c:pt idx="1">
                  <c:v>Romania</c:v>
                </c:pt>
                <c:pt idx="2">
                  <c:v>Poland</c:v>
                </c:pt>
                <c:pt idx="3">
                  <c:v>Bulgaria</c:v>
                </c:pt>
                <c:pt idx="4">
                  <c:v>Slovak Republic</c:v>
                </c:pt>
                <c:pt idx="5">
                  <c:v>Czech Republic</c:v>
                </c:pt>
                <c:pt idx="6">
                  <c:v>Turkey</c:v>
                </c:pt>
                <c:pt idx="7">
                  <c:v>Slovenia</c:v>
                </c:pt>
                <c:pt idx="8">
                  <c:v>Latvia</c:v>
                </c:pt>
                <c:pt idx="9">
                  <c:v>Lithuania</c:v>
                </c:pt>
                <c:pt idx="10">
                  <c:v>Estonia</c:v>
                </c:pt>
                <c:pt idx="11">
                  <c:v>Malta</c:v>
                </c:pt>
                <c:pt idx="12">
                  <c:v>Cyprus</c:v>
                </c:pt>
                <c:pt idx="13">
                  <c:v>AC-10</c:v>
                </c:pt>
                <c:pt idx="14">
                  <c:v>EU-15</c:v>
                </c:pt>
              </c:strCache>
            </c:strRef>
          </c:cat>
          <c:val>
            <c:numRef>
              <c:f>'data_level of use'!$G$16:$G$30</c:f>
              <c:numCache>
                <c:ptCount val="15"/>
                <c:pt idx="0">
                  <c:v>1.2434975820154228</c:v>
                </c:pt>
                <c:pt idx="1">
                  <c:v>1.120480830525453</c:v>
                </c:pt>
                <c:pt idx="2">
                  <c:v>0.9400200952339347</c:v>
                </c:pt>
                <c:pt idx="3">
                  <c:v>0.8902097902097902</c:v>
                </c:pt>
                <c:pt idx="4">
                  <c:v>0.8098226466575716</c:v>
                </c:pt>
                <c:pt idx="5">
                  <c:v>0.7366581956797967</c:v>
                </c:pt>
                <c:pt idx="6">
                  <c:v>0.7156965260834205</c:v>
                </c:pt>
                <c:pt idx="7">
                  <c:v>0.5187343880099917</c:v>
                </c:pt>
                <c:pt idx="8">
                  <c:v>0.40779113137173645</c:v>
                </c:pt>
                <c:pt idx="9">
                  <c:v>0.3910761154855643</c:v>
                </c:pt>
                <c:pt idx="10">
                  <c:v>0.24380165289256198</c:v>
                </c:pt>
                <c:pt idx="11">
                  <c:v>0</c:v>
                </c:pt>
                <c:pt idx="12">
                  <c:v>0</c:v>
                </c:pt>
                <c:pt idx="13">
                  <c:v>0.8685029319079342</c:v>
                </c:pt>
                <c:pt idx="14">
                  <c:v>1.9649360764168022</c:v>
                </c:pt>
              </c:numCache>
            </c:numRef>
          </c:val>
        </c:ser>
        <c:axId val="30637681"/>
        <c:axId val="7303674"/>
      </c:barChart>
      <c:catAx>
        <c:axId val="30637681"/>
        <c:scaling>
          <c:orientation val="minMax"/>
        </c:scaling>
        <c:axPos val="l"/>
        <c:delete val="0"/>
        <c:numFmt formatCode="General" sourceLinked="1"/>
        <c:majorTickMark val="out"/>
        <c:minorTickMark val="none"/>
        <c:tickLblPos val="nextTo"/>
        <c:txPr>
          <a:bodyPr vert="horz" rot="0"/>
          <a:lstStyle/>
          <a:p>
            <a:pPr>
              <a:defRPr lang="en-US" cap="none" sz="1600" b="0" i="0" u="none" baseline="0"/>
            </a:pPr>
          </a:p>
        </c:txPr>
        <c:crossAx val="7303674"/>
        <c:crosses val="autoZero"/>
        <c:auto val="1"/>
        <c:lblOffset val="100"/>
        <c:tickLblSkip val="1"/>
        <c:noMultiLvlLbl val="0"/>
      </c:catAx>
      <c:valAx>
        <c:axId val="7303674"/>
        <c:scaling>
          <c:orientation val="minMax"/>
        </c:scaling>
        <c:axPos val="b"/>
        <c:title>
          <c:tx>
            <c:rich>
              <a:bodyPr vert="horz" rot="0" anchor="ctr"/>
              <a:lstStyle/>
              <a:p>
                <a:pPr algn="ctr">
                  <a:defRPr/>
                </a:pPr>
                <a:r>
                  <a:rPr lang="en-US" cap="none" sz="1600" b="0" i="0" u="none" baseline="0"/>
                  <a:t>Million passenger-km per km of railway line</a:t>
                </a:r>
              </a:p>
            </c:rich>
          </c:tx>
          <c:layout>
            <c:manualLayout>
              <c:xMode val="factor"/>
              <c:yMode val="factor"/>
              <c:x val="-0.0095"/>
              <c:y val="-0.021"/>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600" b="0" i="0" u="none" baseline="0"/>
            </a:pPr>
          </a:p>
        </c:txPr>
        <c:crossAx val="3063768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'data_level of use'!$C$8:$O$8</c:f>
              <c:numCache>
                <c:ptCount val="13"/>
                <c:pt idx="0">
                  <c:v>0.8902097902097902</c:v>
                </c:pt>
                <c:pt idx="2">
                  <c:v>0.7366581956797967</c:v>
                </c:pt>
                <c:pt idx="3">
                  <c:v>0.24380165289256198</c:v>
                </c:pt>
                <c:pt idx="4">
                  <c:v>1.2434975820154228</c:v>
                </c:pt>
                <c:pt idx="5">
                  <c:v>0.40779113137173645</c:v>
                </c:pt>
                <c:pt idx="6">
                  <c:v>0.3910761154855643</c:v>
                </c:pt>
                <c:pt idx="8">
                  <c:v>0.9400200952339347</c:v>
                </c:pt>
                <c:pt idx="9">
                  <c:v>1.120480830525453</c:v>
                </c:pt>
                <c:pt idx="10">
                  <c:v>0.8098226466575716</c:v>
                </c:pt>
                <c:pt idx="11">
                  <c:v>0.5187343880099917</c:v>
                </c:pt>
                <c:pt idx="12">
                  <c:v>0.7156965260834205</c:v>
                </c:pt>
              </c:numCache>
            </c:numRef>
          </c:xVal>
          <c:yVal>
            <c:numRef>
              <c:f>'data_level of use'!$C$9:$O$9</c:f>
              <c:numCache>
                <c:ptCount val="13"/>
                <c:pt idx="0">
                  <c:v>73.58019352397427</c:v>
                </c:pt>
                <c:pt idx="2">
                  <c:v>130.2627241143205</c:v>
                </c:pt>
                <c:pt idx="3">
                  <c:v>30.269529263493048</c:v>
                </c:pt>
                <c:pt idx="4">
                  <c:v>107.72868966999891</c:v>
                </c:pt>
                <c:pt idx="5">
                  <c:v>36.724519655049626</c:v>
                </c:pt>
                <c:pt idx="6">
                  <c:v>56.584992343032155</c:v>
                </c:pt>
                <c:pt idx="8">
                  <c:v>123.60682475974224</c:v>
                </c:pt>
                <c:pt idx="9">
                  <c:v>94.11009643820447</c:v>
                </c:pt>
                <c:pt idx="10">
                  <c:v>110.159678603475</c:v>
                </c:pt>
                <c:pt idx="11">
                  <c:v>98.14375987361768</c:v>
                </c:pt>
                <c:pt idx="12">
                  <c:v>84.26914811922846</c:v>
                </c:pt>
              </c:numCache>
            </c:numRef>
          </c:yVal>
          <c:smooth val="0"/>
        </c:ser>
        <c:axId val="65733067"/>
        <c:axId val="54726692"/>
      </c:scatterChart>
      <c:valAx>
        <c:axId val="65733067"/>
        <c:scaling>
          <c:orientation val="minMax"/>
        </c:scaling>
        <c:axPos val="b"/>
        <c:delete val="0"/>
        <c:numFmt formatCode="General" sourceLinked="1"/>
        <c:majorTickMark val="out"/>
        <c:minorTickMark val="none"/>
        <c:tickLblPos val="nextTo"/>
        <c:crossAx val="54726692"/>
        <c:crosses val="autoZero"/>
        <c:crossBetween val="midCat"/>
        <c:dispUnits/>
      </c:valAx>
      <c:valAx>
        <c:axId val="54726692"/>
        <c:scaling>
          <c:orientation val="minMax"/>
          <c:max val="200"/>
        </c:scaling>
        <c:axPos val="l"/>
        <c:majorGridlines/>
        <c:delete val="0"/>
        <c:numFmt formatCode="General" sourceLinked="0"/>
        <c:majorTickMark val="out"/>
        <c:minorTickMark val="none"/>
        <c:tickLblPos val="nextTo"/>
        <c:crossAx val="6573306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80875"/>
          <c:h val="0.92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'data_level of use'!$C$7:$O$7</c:f>
              <c:numCache>
                <c:ptCount val="13"/>
                <c:pt idx="0">
                  <c:v>1.232147010932775</c:v>
                </c:pt>
                <c:pt idx="2">
                  <c:v>0.560469791556449</c:v>
                </c:pt>
                <c:pt idx="3">
                  <c:v>5.162768031189084</c:v>
                </c:pt>
                <c:pt idx="4">
                  <c:v>0.6815491507977355</c:v>
                </c:pt>
                <c:pt idx="5">
                  <c:v>2.209845640383813</c:v>
                </c:pt>
                <c:pt idx="6">
                  <c:v>2.639262580966617</c:v>
                </c:pt>
                <c:pt idx="8">
                  <c:v>0.20195973768491687</c:v>
                </c:pt>
                <c:pt idx="9">
                  <c:v>0.46677828692280576</c:v>
                </c:pt>
                <c:pt idx="10">
                  <c:v>1.4472677595628416</c:v>
                </c:pt>
                <c:pt idx="11">
                  <c:v>4.428929765886288</c:v>
                </c:pt>
                <c:pt idx="12">
                  <c:v>0.6284256732708506</c:v>
                </c:pt>
              </c:numCache>
            </c:numRef>
          </c:xVal>
          <c:yVal>
            <c:numRef>
              <c:f>'data_level of use'!$C$9:$O$9</c:f>
              <c:numCache>
                <c:ptCount val="13"/>
                <c:pt idx="0">
                  <c:v>73.58019352397427</c:v>
                </c:pt>
                <c:pt idx="2">
                  <c:v>130.2627241143205</c:v>
                </c:pt>
                <c:pt idx="3">
                  <c:v>30.269529263493048</c:v>
                </c:pt>
                <c:pt idx="4">
                  <c:v>107.72868966999891</c:v>
                </c:pt>
                <c:pt idx="5">
                  <c:v>36.724519655049626</c:v>
                </c:pt>
                <c:pt idx="6">
                  <c:v>56.584992343032155</c:v>
                </c:pt>
                <c:pt idx="8">
                  <c:v>123.60682475974224</c:v>
                </c:pt>
                <c:pt idx="9">
                  <c:v>94.11009643820447</c:v>
                </c:pt>
                <c:pt idx="10">
                  <c:v>110.159678603475</c:v>
                </c:pt>
                <c:pt idx="11">
                  <c:v>98.14375987361768</c:v>
                </c:pt>
                <c:pt idx="12">
                  <c:v>84.26914811922846</c:v>
                </c:pt>
              </c:numCache>
            </c:numRef>
          </c:yVal>
          <c:smooth val="0"/>
        </c:ser>
        <c:axId val="22778181"/>
        <c:axId val="3677038"/>
      </c:scatterChart>
      <c:valAx>
        <c:axId val="22778181"/>
        <c:scaling>
          <c:orientation val="minMax"/>
        </c:scaling>
        <c:axPos val="b"/>
        <c:delete val="0"/>
        <c:numFmt formatCode="General" sourceLinked="1"/>
        <c:majorTickMark val="out"/>
        <c:minorTickMark val="none"/>
        <c:tickLblPos val="nextTo"/>
        <c:crossAx val="3677038"/>
        <c:crosses val="autoZero"/>
        <c:crossBetween val="midCat"/>
        <c:dispUnits/>
      </c:valAx>
      <c:valAx>
        <c:axId val="3677038"/>
        <c:scaling>
          <c:orientation val="minMax"/>
          <c:max val="200"/>
        </c:scaling>
        <c:axPos val="l"/>
        <c:majorGridlines/>
        <c:delete val="0"/>
        <c:numFmt formatCode="General" sourceLinked="1"/>
        <c:majorTickMark val="out"/>
        <c:minorTickMark val="none"/>
        <c:tickLblPos val="nextTo"/>
        <c:crossAx val="22778181"/>
        <c:crosses val="autoZero"/>
        <c:crossBetween val="midCat"/>
        <c:dispUnits/>
      </c:valAx>
      <c:spPr>
        <a:solidFill>
          <a:srgbClr val="C0C0C0"/>
        </a:solidFill>
        <a:ln w="12700">
          <a:solidFill>
            <a:srgbClr val="808080"/>
          </a:solidFill>
        </a:ln>
      </c:spPr>
    </c:plotArea>
    <c:legend>
      <c:legendPos val="r"/>
      <c:layout>
        <c:manualLayout>
          <c:xMode val="edge"/>
          <c:yMode val="edge"/>
          <c:x val="0.85375"/>
          <c:y val="0.419"/>
        </c:manualLayout>
      </c:layout>
      <c:overlay val="0"/>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Rail infrastructure use in EU and ACs</a:t>
            </a:r>
          </a:p>
        </c:rich>
      </c:tx>
      <c:layout/>
      <c:spPr>
        <a:noFill/>
        <a:ln>
          <a:noFill/>
        </a:ln>
      </c:spPr>
    </c:title>
    <c:plotArea>
      <c:layout/>
      <c:barChart>
        <c:barDir val="col"/>
        <c:grouping val="clustered"/>
        <c:varyColors val="0"/>
        <c:ser>
          <c:idx val="0"/>
          <c:order val="0"/>
          <c:tx>
            <c:strRef>
              <c:f>'train-km&amp;km'!$AK$4</c:f>
              <c:strCache>
                <c:ptCount val="1"/>
                <c:pt idx="0">
                  <c:v>AC-10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'train-km&amp;km'!$AL$3:$AM$3</c:f>
              <c:numCache>
                <c:ptCount val="2"/>
                <c:pt idx="0">
                  <c:v>1993</c:v>
                </c:pt>
                <c:pt idx="1">
                  <c:v>1998</c:v>
                </c:pt>
              </c:numCache>
            </c:numRef>
          </c:cat>
          <c:val>
            <c:numRef>
              <c:f>'train-km&amp;km'!$AL$4:$AM$4</c:f>
              <c:numCache>
                <c:ptCount val="2"/>
                <c:pt idx="0">
                  <c:v>12.147395769043126</c:v>
                </c:pt>
                <c:pt idx="1">
                  <c:v>12.088321079176035</c:v>
                </c:pt>
              </c:numCache>
            </c:numRef>
          </c:val>
        </c:ser>
        <c:ser>
          <c:idx val="1"/>
          <c:order val="1"/>
          <c:tx>
            <c:strRef>
              <c:f>'train-km&amp;km'!$AK$5</c:f>
              <c:strCache>
                <c:ptCount val="1"/>
                <c:pt idx="0">
                  <c:v>EU-14</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'train-km&amp;km'!$AL$3:$AM$3</c:f>
              <c:numCache>
                <c:ptCount val="2"/>
                <c:pt idx="0">
                  <c:v>1993</c:v>
                </c:pt>
                <c:pt idx="1">
                  <c:v>1998</c:v>
                </c:pt>
              </c:numCache>
            </c:numRef>
          </c:cat>
          <c:val>
            <c:numRef>
              <c:f>'train-km&amp;km'!$AL$5:$AM$5</c:f>
              <c:numCache>
                <c:ptCount val="2"/>
                <c:pt idx="0">
                  <c:v>17.817818192282235</c:v>
                </c:pt>
                <c:pt idx="1">
                  <c:v>18.782699207157727</c:v>
                </c:pt>
              </c:numCache>
            </c:numRef>
          </c:val>
        </c:ser>
        <c:axId val="33093343"/>
        <c:axId val="29404632"/>
      </c:barChart>
      <c:catAx>
        <c:axId val="33093343"/>
        <c:scaling>
          <c:orientation val="minMax"/>
        </c:scaling>
        <c:axPos val="b"/>
        <c:delete val="0"/>
        <c:numFmt formatCode="General" sourceLinked="1"/>
        <c:majorTickMark val="out"/>
        <c:minorTickMark val="none"/>
        <c:tickLblPos val="nextTo"/>
        <c:crossAx val="29404632"/>
        <c:crosses val="autoZero"/>
        <c:auto val="1"/>
        <c:lblOffset val="100"/>
        <c:noMultiLvlLbl val="0"/>
      </c:catAx>
      <c:valAx>
        <c:axId val="29404632"/>
        <c:scaling>
          <c:orientation val="minMax"/>
        </c:scaling>
        <c:axPos val="l"/>
        <c:title>
          <c:tx>
            <c:rich>
              <a:bodyPr vert="horz" rot="-5400000" anchor="ctr"/>
              <a:lstStyle/>
              <a:p>
                <a:pPr algn="ctr">
                  <a:defRPr/>
                </a:pPr>
                <a:r>
                  <a:rPr lang="en-US" cap="none" sz="875" b="1" i="0" u="none" baseline="0"/>
                  <a:t>1000 train-km per km infrastructure</a:t>
                </a:r>
              </a:p>
            </c:rich>
          </c:tx>
          <c:layout/>
          <c:overlay val="0"/>
          <c:spPr>
            <a:noFill/>
            <a:ln>
              <a:noFill/>
            </a:ln>
          </c:spPr>
        </c:title>
        <c:majorGridlines/>
        <c:delete val="0"/>
        <c:numFmt formatCode="General" sourceLinked="1"/>
        <c:majorTickMark val="out"/>
        <c:minorTickMark val="none"/>
        <c:tickLblPos val="nextTo"/>
        <c:crossAx val="3309334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5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50"/>
  </sheetViews>
  <pageMargins left="0.75" right="0.75" top="1" bottom="1" header="0.5" footer="0.5"/>
  <pageSetup horizontalDpi="300" verticalDpi="300" orientation="portrait"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50"/>
  </sheetViews>
  <pageMargins left="0.75" right="0.75" top="1" bottom="1" header="0.5" footer="0.5"/>
  <pageSetup horizontalDpi="300" verticalDpi="300" orientation="portrait"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50"/>
  </sheetViews>
  <pageMargins left="0.7874015748031497" right="0.7874015748031497" top="1.968503937007874" bottom="1.968503937007874" header="0.5118110236220472" footer="0.5118110236220472"/>
  <pageSetup horizontalDpi="600" verticalDpi="600" orientation="portrait"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50"/>
  </sheetViews>
  <pageMargins left="0.7874015748031497" right="0.7874015748031497" top="1.968503937007874" bottom="1.968503937007874" header="0.5118110236220472" footer="0.5118110236220472"/>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0.3485</cdr:x>
      <cdr:y>0.011</cdr:y>
    </cdr:from>
    <cdr:to>
      <cdr:x>0.3485</cdr:x>
      <cdr:y>0.87175</cdr:y>
    </cdr:to>
    <cdr:sp>
      <cdr:nvSpPr>
        <cdr:cNvPr id="1" name="Line 1"/>
        <cdr:cNvSpPr>
          <a:spLocks/>
        </cdr:cNvSpPr>
      </cdr:nvSpPr>
      <cdr:spPr>
        <a:xfrm flipH="1" flipV="1">
          <a:off x="2124075" y="95250"/>
          <a:ext cx="0" cy="76390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CE"/>
              <a:ea typeface="Arial CE"/>
              <a:cs typeface="Arial CE"/>
            </a:rPr>
            <a:t/>
          </a:r>
        </a:p>
      </cdr:txBody>
    </cdr:sp>
  </cdr:relSizeAnchor>
  <cdr:relSizeAnchor xmlns:cdr="http://schemas.openxmlformats.org/drawingml/2006/chartDrawing">
    <cdr:from>
      <cdr:x>0.0035</cdr:x>
      <cdr:y>0.02125</cdr:y>
    </cdr:from>
    <cdr:to>
      <cdr:x>0.0765</cdr:x>
      <cdr:y>0.35175</cdr:y>
    </cdr:to>
    <cdr:sp>
      <cdr:nvSpPr>
        <cdr:cNvPr id="2" name="TextBox 2"/>
        <cdr:cNvSpPr txBox="1">
          <a:spLocks noChangeArrowheads="1"/>
        </cdr:cNvSpPr>
      </cdr:nvSpPr>
      <cdr:spPr>
        <a:xfrm>
          <a:off x="19050" y="180975"/>
          <a:ext cx="447675" cy="2933700"/>
        </a:xfrm>
        <a:prstGeom prst="rect">
          <a:avLst/>
        </a:prstGeom>
        <a:noFill/>
        <a:ln w="9525" cmpd="sng">
          <a:noFill/>
        </a:ln>
      </cdr:spPr>
      <cdr:txBody>
        <a:bodyPr vertOverflow="clip" wrap="square" vert="vert270">
          <a:spAutoFit/>
        </a:bodyPr>
        <a:p>
          <a:pPr algn="l">
            <a:defRPr/>
          </a:pPr>
          <a:r>
            <a:rPr lang="en-US" cap="none" sz="1975" b="0" i="0" u="none" baseline="0"/>
            <a:t>Higher population density</a:t>
          </a:r>
        </a:p>
      </cdr:txBody>
    </cdr:sp>
  </cdr:relSizeAnchor>
  <cdr:relSizeAnchor xmlns:cdr="http://schemas.openxmlformats.org/drawingml/2006/chartDrawing">
    <cdr:from>
      <cdr:x>0.042</cdr:x>
      <cdr:y>0.3595</cdr:y>
    </cdr:from>
    <cdr:to>
      <cdr:x>0.04275</cdr:x>
      <cdr:y>0.43375</cdr:y>
    </cdr:to>
    <cdr:sp>
      <cdr:nvSpPr>
        <cdr:cNvPr id="3" name="Line 3"/>
        <cdr:cNvSpPr>
          <a:spLocks/>
        </cdr:cNvSpPr>
      </cdr:nvSpPr>
      <cdr:spPr>
        <a:xfrm>
          <a:off x="247650" y="3190875"/>
          <a:ext cx="0" cy="657225"/>
        </a:xfrm>
        <a:prstGeom prst="line">
          <a:avLst/>
        </a:prstGeom>
        <a:noFill/>
        <a:ln w="9525" cmpd="sng">
          <a:solidFill>
            <a:srgbClr val="000000"/>
          </a:solidFill>
          <a:headEnd type="none"/>
          <a:tailEnd type="stealth"/>
        </a:ln>
      </cdr:spPr>
      <cdr:txBody>
        <a:bodyPr vertOverflow="clip" wrap="square"/>
        <a:p>
          <a:pPr algn="l">
            <a:defRPr/>
          </a:pPr>
          <a:r>
            <a:rPr lang="en-US" cap="none" u="none" baseline="0">
              <a:latin typeface="Arial CE"/>
              <a:ea typeface="Arial CE"/>
              <a:cs typeface="Arial CE"/>
            </a:rPr>
            <a:t/>
          </a:r>
        </a:p>
      </cdr:txBody>
    </cdr:sp>
  </cdr:relSizeAnchor>
  <cdr:relSizeAnchor xmlns:cdr="http://schemas.openxmlformats.org/drawingml/2006/chartDrawing">
    <cdr:from>
      <cdr:x>0.042</cdr:x>
      <cdr:y>0.3595</cdr:y>
    </cdr:from>
    <cdr:to>
      <cdr:x>0.04275</cdr:x>
      <cdr:y>0.43375</cdr:y>
    </cdr:to>
    <cdr:sp>
      <cdr:nvSpPr>
        <cdr:cNvPr id="4" name="Line 4"/>
        <cdr:cNvSpPr>
          <a:spLocks/>
        </cdr:cNvSpPr>
      </cdr:nvSpPr>
      <cdr:spPr>
        <a:xfrm>
          <a:off x="247650" y="3190875"/>
          <a:ext cx="0" cy="657225"/>
        </a:xfrm>
        <a:prstGeom prst="line">
          <a:avLst/>
        </a:prstGeom>
        <a:noFill/>
        <a:ln w="9525" cmpd="sng">
          <a:solidFill>
            <a:srgbClr val="000000"/>
          </a:solidFill>
          <a:headEnd type="none"/>
          <a:tailEnd type="stealth"/>
        </a:ln>
      </cdr:spPr>
      <cdr:txBody>
        <a:bodyPr vertOverflow="clip" wrap="square"/>
        <a:p>
          <a:pPr algn="l">
            <a:defRPr/>
          </a:pPr>
          <a:r>
            <a:rPr lang="en-US" cap="none" u="none" baseline="0">
              <a:latin typeface="Arial CE"/>
              <a:ea typeface="Arial CE"/>
              <a:cs typeface="Arial CE"/>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0.43575</cdr:x>
      <cdr:y>0.01325</cdr:y>
    </cdr:from>
    <cdr:to>
      <cdr:x>0.43575</cdr:x>
      <cdr:y>0.86675</cdr:y>
    </cdr:to>
    <cdr:sp>
      <cdr:nvSpPr>
        <cdr:cNvPr id="1" name="Line 1"/>
        <cdr:cNvSpPr>
          <a:spLocks/>
        </cdr:cNvSpPr>
      </cdr:nvSpPr>
      <cdr:spPr>
        <a:xfrm flipH="1" flipV="1">
          <a:off x="2657475" y="114300"/>
          <a:ext cx="0" cy="75723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CE"/>
              <a:ea typeface="Arial CE"/>
              <a:cs typeface="Arial CE"/>
            </a:rPr>
            <a:t/>
          </a:r>
        </a:p>
      </cdr:txBody>
    </cdr:sp>
  </cdr:relSizeAnchor>
  <cdr:relSizeAnchor xmlns:cdr="http://schemas.openxmlformats.org/drawingml/2006/chartDrawing">
    <cdr:from>
      <cdr:x>0.01575</cdr:x>
      <cdr:y>0.01325</cdr:y>
    </cdr:from>
    <cdr:to>
      <cdr:x>0.08875</cdr:x>
      <cdr:y>0.34375</cdr:y>
    </cdr:to>
    <cdr:sp>
      <cdr:nvSpPr>
        <cdr:cNvPr id="2" name="TextBox 2"/>
        <cdr:cNvSpPr txBox="1">
          <a:spLocks noChangeArrowheads="1"/>
        </cdr:cNvSpPr>
      </cdr:nvSpPr>
      <cdr:spPr>
        <a:xfrm>
          <a:off x="95250" y="114300"/>
          <a:ext cx="447675" cy="2933700"/>
        </a:xfrm>
        <a:prstGeom prst="rect">
          <a:avLst/>
        </a:prstGeom>
        <a:noFill/>
        <a:ln w="9525" cmpd="sng">
          <a:noFill/>
        </a:ln>
      </cdr:spPr>
      <cdr:txBody>
        <a:bodyPr vertOverflow="clip" wrap="square" vert="vert270">
          <a:spAutoFit/>
        </a:bodyPr>
        <a:p>
          <a:pPr algn="l">
            <a:defRPr/>
          </a:pPr>
          <a:r>
            <a:rPr lang="en-US" cap="none" sz="1975" b="0" i="0" u="none" baseline="0"/>
            <a:t>Higher population density</a:t>
          </a:r>
        </a:p>
      </cdr:txBody>
    </cdr:sp>
  </cdr:relSizeAnchor>
  <cdr:relSizeAnchor xmlns:cdr="http://schemas.openxmlformats.org/drawingml/2006/chartDrawing">
    <cdr:from>
      <cdr:x>0.051</cdr:x>
      <cdr:y>0.3455</cdr:y>
    </cdr:from>
    <cdr:to>
      <cdr:x>0.05125</cdr:x>
      <cdr:y>0.41725</cdr:y>
    </cdr:to>
    <cdr:sp>
      <cdr:nvSpPr>
        <cdr:cNvPr id="3" name="Line 3"/>
        <cdr:cNvSpPr>
          <a:spLocks/>
        </cdr:cNvSpPr>
      </cdr:nvSpPr>
      <cdr:spPr>
        <a:xfrm>
          <a:off x="304800" y="3067050"/>
          <a:ext cx="0" cy="638175"/>
        </a:xfrm>
        <a:prstGeom prst="line">
          <a:avLst/>
        </a:prstGeom>
        <a:noFill/>
        <a:ln w="9525" cmpd="sng">
          <a:solidFill>
            <a:srgbClr val="000000"/>
          </a:solidFill>
          <a:headEnd type="none"/>
          <a:tailEnd type="stealth"/>
        </a:ln>
      </cdr:spPr>
      <cdr:txBody>
        <a:bodyPr vertOverflow="clip" wrap="square"/>
        <a:p>
          <a:pPr algn="l">
            <a:defRPr/>
          </a:pPr>
          <a:r>
            <a:rPr lang="en-US" cap="none" u="none" baseline="0">
              <a:latin typeface="Arial CE"/>
              <a:ea typeface="Arial CE"/>
              <a:cs typeface="Arial CE"/>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7077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7077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56</xdr:row>
      <xdr:rowOff>104775</xdr:rowOff>
    </xdr:from>
    <xdr:to>
      <xdr:col>15</xdr:col>
      <xdr:colOff>38100</xdr:colOff>
      <xdr:row>74</xdr:row>
      <xdr:rowOff>19050</xdr:rowOff>
    </xdr:to>
    <xdr:graphicFrame>
      <xdr:nvGraphicFramePr>
        <xdr:cNvPr id="1" name="Chart 4"/>
        <xdr:cNvGraphicFramePr/>
      </xdr:nvGraphicFramePr>
      <xdr:xfrm>
        <a:off x="3352800" y="8562975"/>
        <a:ext cx="4514850" cy="282892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37</xdr:row>
      <xdr:rowOff>85725</xdr:rowOff>
    </xdr:from>
    <xdr:to>
      <xdr:col>14</xdr:col>
      <xdr:colOff>457200</xdr:colOff>
      <xdr:row>55</xdr:row>
      <xdr:rowOff>0</xdr:rowOff>
    </xdr:to>
    <xdr:graphicFrame>
      <xdr:nvGraphicFramePr>
        <xdr:cNvPr id="2" name="Chart 5"/>
        <xdr:cNvGraphicFramePr/>
      </xdr:nvGraphicFramePr>
      <xdr:xfrm>
        <a:off x="3305175" y="5534025"/>
        <a:ext cx="4514850" cy="27622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228600</xdr:colOff>
      <xdr:row>5</xdr:row>
      <xdr:rowOff>142875</xdr:rowOff>
    </xdr:from>
    <xdr:to>
      <xdr:col>41</xdr:col>
      <xdr:colOff>171450</xdr:colOff>
      <xdr:row>22</xdr:row>
      <xdr:rowOff>104775</xdr:rowOff>
    </xdr:to>
    <xdr:graphicFrame>
      <xdr:nvGraphicFramePr>
        <xdr:cNvPr id="1" name="Chart 1"/>
        <xdr:cNvGraphicFramePr/>
      </xdr:nvGraphicFramePr>
      <xdr:xfrm>
        <a:off x="24412575" y="857250"/>
        <a:ext cx="4114800" cy="2409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i08\proj\WINDOWS\Desktop\Project%20Directory\Current%20AC%20factsheets%20and%20datasheets\Base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EBRA\Dept$\EAS\Transport\TERM%202002\Indicator%20data%20sheets\Final%20data%20sheets\BaseDat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EBRA\Dept$\EAS\Transport\TERM%202002\Indicator%20data%20sheets\Final%20data%20sheets\TERM%202002%2000%20AC%20-%20Base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ea.eionet.eu.int:8980/irc/DownLoad/grupUj1ZcSIubFi2Y2oGuLHbHyJjuKSR/GqkAsAw9qTNe-V0wbLC_2bjhpeSGGkeZ/ScCquK-oMbhRu_wTZ1c0DgD/TERM%202002%2018%20EU%20-%20Capacity%20of%20infrastructure%20network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Verkeer%20en%20Vervoer\Lopende%20projecten\320EEA\GROUP%20II%20Demand\EU\TERM%202003%2000%20EUAC%20-%20Base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ERM%202003%2018%20EU%20-%20Capacity%20of%20infrastructure%20network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Verkeer%20en%20Vervoer\Lopende%20projecten\320EEA\GROUP%20II%20Demand\AC\TERM%202003%2013%20AC%20-%20Freight%20transpor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Verkeer%20en%20Vervoer\Lopende%20projecten\320EEA\GROUP%20II%20Demand\AC\TERM%202003%2012%20AC%20-%20Passenger%20trans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manip_POP"/>
      <sheetName val="POP"/>
      <sheetName val="Chart_1998_GDP_capita"/>
      <sheetName val="manip_GDP"/>
      <sheetName val="GDP"/>
      <sheetName val="PPP"/>
    </sheetNames>
    <sheetDataSet>
      <sheetData sheetId="1">
        <row r="6">
          <cell r="B6">
            <v>163164.494</v>
          </cell>
          <cell r="C6">
            <v>8718.3</v>
          </cell>
          <cell r="D6">
            <v>681</v>
          </cell>
          <cell r="E6">
            <v>10362.74</v>
          </cell>
          <cell r="F6">
            <v>1571.05</v>
          </cell>
          <cell r="G6">
            <v>10364.8</v>
          </cell>
          <cell r="H6">
            <v>2670.67</v>
          </cell>
          <cell r="I6">
            <v>3722.35</v>
          </cell>
          <cell r="J6">
            <v>354</v>
          </cell>
          <cell r="K6">
            <v>38119</v>
          </cell>
          <cell r="L6">
            <v>23206.72</v>
          </cell>
          <cell r="M6">
            <v>5297.774</v>
          </cell>
          <cell r="N6">
            <v>1998.09</v>
          </cell>
          <cell r="O6">
            <v>56098</v>
          </cell>
        </row>
        <row r="7">
          <cell r="B7">
            <v>164189.686</v>
          </cell>
          <cell r="C7">
            <v>8632.3</v>
          </cell>
          <cell r="D7">
            <v>692</v>
          </cell>
          <cell r="E7">
            <v>10308.682</v>
          </cell>
          <cell r="F7">
            <v>1566.334</v>
          </cell>
          <cell r="G7">
            <v>10346</v>
          </cell>
          <cell r="H7">
            <v>2662.414</v>
          </cell>
          <cell r="I7">
            <v>3741.7</v>
          </cell>
          <cell r="J7">
            <v>358</v>
          </cell>
          <cell r="K7">
            <v>38245</v>
          </cell>
          <cell r="L7">
            <v>23185.084</v>
          </cell>
          <cell r="M7">
            <v>5283.404</v>
          </cell>
          <cell r="N7">
            <v>2001.768</v>
          </cell>
          <cell r="O7">
            <v>57167</v>
          </cell>
        </row>
        <row r="8">
          <cell r="B8">
            <v>164825.588</v>
          </cell>
          <cell r="C8">
            <v>8540.1</v>
          </cell>
          <cell r="D8">
            <v>705</v>
          </cell>
          <cell r="E8">
            <v>10317.807</v>
          </cell>
          <cell r="F8">
            <v>1544.374</v>
          </cell>
          <cell r="G8">
            <v>10323.7</v>
          </cell>
          <cell r="H8">
            <v>2631.567</v>
          </cell>
          <cell r="I8">
            <v>3741.7</v>
          </cell>
          <cell r="J8">
            <v>362</v>
          </cell>
          <cell r="K8">
            <v>38365</v>
          </cell>
          <cell r="L8">
            <v>22788.969</v>
          </cell>
          <cell r="M8">
            <v>5306.539</v>
          </cell>
          <cell r="N8">
            <v>1995.832</v>
          </cell>
          <cell r="O8">
            <v>58203</v>
          </cell>
        </row>
        <row r="9">
          <cell r="B9">
            <v>165765.015</v>
          </cell>
          <cell r="C9">
            <v>8472.3</v>
          </cell>
          <cell r="D9">
            <v>718</v>
          </cell>
          <cell r="E9">
            <v>10330.607</v>
          </cell>
          <cell r="F9">
            <v>1516.728</v>
          </cell>
          <cell r="G9">
            <v>10293.6</v>
          </cell>
          <cell r="H9">
            <v>2586.015</v>
          </cell>
          <cell r="I9">
            <v>3730.25</v>
          </cell>
          <cell r="J9">
            <v>367</v>
          </cell>
          <cell r="K9">
            <v>38459</v>
          </cell>
          <cell r="L9">
            <v>22755.26</v>
          </cell>
          <cell r="M9">
            <v>5324.632</v>
          </cell>
          <cell r="N9">
            <v>1990.623</v>
          </cell>
          <cell r="O9">
            <v>59221</v>
          </cell>
        </row>
        <row r="10">
          <cell r="B10">
            <v>166762.8005</v>
          </cell>
          <cell r="C10">
            <v>8443.6</v>
          </cell>
          <cell r="D10">
            <v>732</v>
          </cell>
          <cell r="E10">
            <v>10336.162</v>
          </cell>
          <cell r="F10">
            <v>1499.255</v>
          </cell>
          <cell r="G10">
            <v>10261.35</v>
          </cell>
          <cell r="H10">
            <v>2547.6985</v>
          </cell>
          <cell r="I10">
            <v>3720.85</v>
          </cell>
          <cell r="J10">
            <v>371</v>
          </cell>
          <cell r="K10">
            <v>38544</v>
          </cell>
          <cell r="L10">
            <v>22730.622</v>
          </cell>
          <cell r="M10">
            <v>5347.413</v>
          </cell>
          <cell r="N10">
            <v>1988.85</v>
          </cell>
          <cell r="O10">
            <v>60240</v>
          </cell>
        </row>
        <row r="11">
          <cell r="B11">
            <v>167695.3345</v>
          </cell>
          <cell r="C11">
            <v>8406.1</v>
          </cell>
          <cell r="D11">
            <v>744</v>
          </cell>
          <cell r="E11">
            <v>10330.759</v>
          </cell>
          <cell r="F11">
            <v>1483.942</v>
          </cell>
          <cell r="G11">
            <v>10229</v>
          </cell>
          <cell r="H11">
            <v>2515.6015</v>
          </cell>
          <cell r="I11">
            <v>3714.8</v>
          </cell>
          <cell r="J11">
            <v>375</v>
          </cell>
          <cell r="K11">
            <v>38588</v>
          </cell>
          <cell r="L11">
            <v>22680.951</v>
          </cell>
          <cell r="M11">
            <v>5363.676</v>
          </cell>
          <cell r="N11">
            <v>1987.505</v>
          </cell>
          <cell r="O11">
            <v>61276</v>
          </cell>
        </row>
        <row r="12">
          <cell r="B12">
            <v>168595.637</v>
          </cell>
          <cell r="C12">
            <v>8362.8</v>
          </cell>
          <cell r="D12">
            <v>754</v>
          </cell>
          <cell r="E12">
            <v>10315.353</v>
          </cell>
          <cell r="F12">
            <v>1469.216</v>
          </cell>
          <cell r="G12">
            <v>10193.371</v>
          </cell>
          <cell r="H12">
            <v>2490.765</v>
          </cell>
          <cell r="I12">
            <v>3709.55</v>
          </cell>
          <cell r="J12">
            <v>378</v>
          </cell>
          <cell r="K12">
            <v>38618</v>
          </cell>
          <cell r="L12">
            <v>22607.62</v>
          </cell>
          <cell r="M12">
            <v>5373.793</v>
          </cell>
          <cell r="N12">
            <v>1991.169</v>
          </cell>
          <cell r="O12">
            <v>62332</v>
          </cell>
        </row>
        <row r="13">
          <cell r="B13">
            <v>169516.3395</v>
          </cell>
          <cell r="C13">
            <v>8312.068</v>
          </cell>
          <cell r="D13">
            <v>763</v>
          </cell>
          <cell r="E13">
            <v>10303.642</v>
          </cell>
          <cell r="F13">
            <v>1457.987</v>
          </cell>
          <cell r="G13">
            <v>10154.9</v>
          </cell>
          <cell r="H13">
            <v>2469.1365</v>
          </cell>
          <cell r="I13">
            <v>3705.6</v>
          </cell>
          <cell r="J13">
            <v>381</v>
          </cell>
          <cell r="K13">
            <v>38650</v>
          </cell>
          <cell r="L13">
            <v>22545.925</v>
          </cell>
          <cell r="M13">
            <v>5383.233</v>
          </cell>
          <cell r="N13">
            <v>1986.848</v>
          </cell>
          <cell r="O13">
            <v>63403</v>
          </cell>
        </row>
        <row r="14">
          <cell r="B14">
            <v>170442.6105</v>
          </cell>
          <cell r="C14">
            <v>8256.786</v>
          </cell>
          <cell r="D14">
            <v>771</v>
          </cell>
          <cell r="E14">
            <v>10294.943</v>
          </cell>
          <cell r="F14">
            <v>1449.712</v>
          </cell>
          <cell r="G14">
            <v>10113.5735</v>
          </cell>
          <cell r="H14">
            <v>2448.924</v>
          </cell>
          <cell r="I14">
            <v>3702.4</v>
          </cell>
          <cell r="J14">
            <v>384</v>
          </cell>
          <cell r="K14">
            <v>38666</v>
          </cell>
          <cell r="L14">
            <v>22502.803</v>
          </cell>
          <cell r="M14">
            <v>5390.866</v>
          </cell>
          <cell r="N14">
            <v>1982.603</v>
          </cell>
          <cell r="O14">
            <v>64479</v>
          </cell>
        </row>
        <row r="15">
          <cell r="B15">
            <v>171315.5285</v>
          </cell>
          <cell r="C15">
            <v>8210.6235</v>
          </cell>
          <cell r="D15">
            <v>778</v>
          </cell>
          <cell r="E15">
            <v>10282.784</v>
          </cell>
          <cell r="F15">
            <v>1442.389</v>
          </cell>
          <cell r="G15">
            <v>10067.5065</v>
          </cell>
          <cell r="H15">
            <v>2409.6725</v>
          </cell>
          <cell r="I15">
            <v>3699.65</v>
          </cell>
          <cell r="J15">
            <v>386</v>
          </cell>
          <cell r="K15">
            <v>38654</v>
          </cell>
          <cell r="L15">
            <v>22458.022</v>
          </cell>
          <cell r="M15">
            <v>5395.324</v>
          </cell>
          <cell r="N15">
            <v>1985.557</v>
          </cell>
          <cell r="O15">
            <v>65546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
      <sheetName val="manip_POP"/>
      <sheetName val="POP"/>
      <sheetName val="Chart_1998_GDP_capita"/>
      <sheetName val="manip_GDP"/>
      <sheetName val="GDP"/>
      <sheetName val="PPP"/>
      <sheetName val="manip_worldbank_GDP"/>
      <sheetName val="basedata_worldbank_GDP"/>
      <sheetName val="manip_eurostat_GDP"/>
      <sheetName val="basedata_eurostat_GDP"/>
    </sheetNames>
    <sheetDataSet>
      <sheetData sheetId="1">
        <row r="6">
          <cell r="B6">
            <v>163164.494</v>
          </cell>
          <cell r="C6">
            <v>8718.3</v>
          </cell>
          <cell r="D6">
            <v>681</v>
          </cell>
          <cell r="E6">
            <v>10362.74</v>
          </cell>
          <cell r="F6">
            <v>1571.05</v>
          </cell>
          <cell r="G6">
            <v>10364.8</v>
          </cell>
          <cell r="H6">
            <v>2670.67</v>
          </cell>
          <cell r="I6">
            <v>3722.35</v>
          </cell>
          <cell r="J6">
            <v>354</v>
          </cell>
          <cell r="K6">
            <v>38119</v>
          </cell>
          <cell r="L6">
            <v>23206.72</v>
          </cell>
          <cell r="M6">
            <v>5297.774</v>
          </cell>
          <cell r="N6">
            <v>1998.09</v>
          </cell>
          <cell r="O6">
            <v>56098</v>
          </cell>
        </row>
        <row r="7">
          <cell r="B7">
            <v>164189.686</v>
          </cell>
          <cell r="C7">
            <v>8632.3</v>
          </cell>
          <cell r="D7">
            <v>692</v>
          </cell>
          <cell r="E7">
            <v>10308.682</v>
          </cell>
          <cell r="F7">
            <v>1566.334</v>
          </cell>
          <cell r="G7">
            <v>10346</v>
          </cell>
          <cell r="H7">
            <v>2662.414</v>
          </cell>
          <cell r="I7">
            <v>3741.7</v>
          </cell>
          <cell r="J7">
            <v>358</v>
          </cell>
          <cell r="K7">
            <v>38245</v>
          </cell>
          <cell r="L7">
            <v>23185.084</v>
          </cell>
          <cell r="M7">
            <v>5283.404</v>
          </cell>
          <cell r="N7">
            <v>2001.768</v>
          </cell>
          <cell r="O7">
            <v>57167</v>
          </cell>
        </row>
        <row r="8">
          <cell r="B8">
            <v>164825.588</v>
          </cell>
          <cell r="C8">
            <v>8540.1</v>
          </cell>
          <cell r="D8">
            <v>705</v>
          </cell>
          <cell r="E8">
            <v>10317.807</v>
          </cell>
          <cell r="F8">
            <v>1544.374</v>
          </cell>
          <cell r="G8">
            <v>10323.7</v>
          </cell>
          <cell r="H8">
            <v>2631.567</v>
          </cell>
          <cell r="I8">
            <v>3741.7</v>
          </cell>
          <cell r="J8">
            <v>362</v>
          </cell>
          <cell r="K8">
            <v>38365</v>
          </cell>
          <cell r="L8">
            <v>22788.969</v>
          </cell>
          <cell r="M8">
            <v>5306.539</v>
          </cell>
          <cell r="N8">
            <v>1995.832</v>
          </cell>
          <cell r="O8">
            <v>58203</v>
          </cell>
        </row>
        <row r="9">
          <cell r="B9">
            <v>165765.015</v>
          </cell>
          <cell r="C9">
            <v>8472.3</v>
          </cell>
          <cell r="D9">
            <v>718</v>
          </cell>
          <cell r="E9">
            <v>10330.607</v>
          </cell>
          <cell r="F9">
            <v>1516.728</v>
          </cell>
          <cell r="G9">
            <v>10293.6</v>
          </cell>
          <cell r="H9">
            <v>2586.015</v>
          </cell>
          <cell r="I9">
            <v>3730.25</v>
          </cell>
          <cell r="J9">
            <v>367</v>
          </cell>
          <cell r="K9">
            <v>38459</v>
          </cell>
          <cell r="L9">
            <v>22755.26</v>
          </cell>
          <cell r="M9">
            <v>5324.632</v>
          </cell>
          <cell r="N9">
            <v>1990.623</v>
          </cell>
          <cell r="O9">
            <v>59221</v>
          </cell>
        </row>
        <row r="10">
          <cell r="B10">
            <v>166762.8005</v>
          </cell>
          <cell r="C10">
            <v>8443.6</v>
          </cell>
          <cell r="D10">
            <v>732</v>
          </cell>
          <cell r="E10">
            <v>10336.162</v>
          </cell>
          <cell r="F10">
            <v>1499.255</v>
          </cell>
          <cell r="G10">
            <v>10261.35</v>
          </cell>
          <cell r="H10">
            <v>2547.6985</v>
          </cell>
          <cell r="I10">
            <v>3720.85</v>
          </cell>
          <cell r="J10">
            <v>371</v>
          </cell>
          <cell r="K10">
            <v>38544</v>
          </cell>
          <cell r="L10">
            <v>22730.622</v>
          </cell>
          <cell r="M10">
            <v>5347.413</v>
          </cell>
          <cell r="N10">
            <v>1988.85</v>
          </cell>
          <cell r="O10">
            <v>60240</v>
          </cell>
        </row>
        <row r="11">
          <cell r="B11">
            <v>167695.3345</v>
          </cell>
          <cell r="C11">
            <v>8406.1</v>
          </cell>
          <cell r="D11">
            <v>744</v>
          </cell>
          <cell r="E11">
            <v>10330.759</v>
          </cell>
          <cell r="F11">
            <v>1483.942</v>
          </cell>
          <cell r="G11">
            <v>10229</v>
          </cell>
          <cell r="H11">
            <v>2515.6015</v>
          </cell>
          <cell r="I11">
            <v>3714.8</v>
          </cell>
          <cell r="J11">
            <v>375</v>
          </cell>
          <cell r="K11">
            <v>38588</v>
          </cell>
          <cell r="L11">
            <v>22680.951</v>
          </cell>
          <cell r="M11">
            <v>5363.676</v>
          </cell>
          <cell r="N11">
            <v>1987.505</v>
          </cell>
          <cell r="O11">
            <v>61276</v>
          </cell>
        </row>
        <row r="12">
          <cell r="B12">
            <v>168595.637</v>
          </cell>
          <cell r="C12">
            <v>8362.8</v>
          </cell>
          <cell r="D12">
            <v>754</v>
          </cell>
          <cell r="E12">
            <v>10315.353</v>
          </cell>
          <cell r="F12">
            <v>1469.216</v>
          </cell>
          <cell r="G12">
            <v>10193.371</v>
          </cell>
          <cell r="H12">
            <v>2490.765</v>
          </cell>
          <cell r="I12">
            <v>3709.55</v>
          </cell>
          <cell r="J12">
            <v>378</v>
          </cell>
          <cell r="K12">
            <v>38618</v>
          </cell>
          <cell r="L12">
            <v>22607.62</v>
          </cell>
          <cell r="M12">
            <v>5373.793</v>
          </cell>
          <cell r="N12">
            <v>1991.169</v>
          </cell>
          <cell r="O12">
            <v>62332</v>
          </cell>
        </row>
        <row r="13">
          <cell r="B13">
            <v>169516.3395</v>
          </cell>
          <cell r="C13">
            <v>8312.068</v>
          </cell>
          <cell r="D13">
            <v>763</v>
          </cell>
          <cell r="E13">
            <v>10303.642</v>
          </cell>
          <cell r="F13">
            <v>1457.987</v>
          </cell>
          <cell r="G13">
            <v>10154.9</v>
          </cell>
          <cell r="H13">
            <v>2469.1365</v>
          </cell>
          <cell r="I13">
            <v>3705.6</v>
          </cell>
          <cell r="J13">
            <v>381</v>
          </cell>
          <cell r="K13">
            <v>38650</v>
          </cell>
          <cell r="L13">
            <v>22545.925</v>
          </cell>
          <cell r="M13">
            <v>5383.233</v>
          </cell>
          <cell r="N13">
            <v>1986.848</v>
          </cell>
          <cell r="O13">
            <v>63403</v>
          </cell>
        </row>
        <row r="14">
          <cell r="B14">
            <v>170442.6105</v>
          </cell>
          <cell r="C14">
            <v>8256.786</v>
          </cell>
          <cell r="D14">
            <v>771</v>
          </cell>
          <cell r="E14">
            <v>10294.943</v>
          </cell>
          <cell r="F14">
            <v>1449.712</v>
          </cell>
          <cell r="G14">
            <v>10113.5735</v>
          </cell>
          <cell r="H14">
            <v>2448.924</v>
          </cell>
          <cell r="I14">
            <v>3702.4</v>
          </cell>
          <cell r="J14">
            <v>384</v>
          </cell>
          <cell r="K14">
            <v>38666</v>
          </cell>
          <cell r="L14">
            <v>22502.803</v>
          </cell>
          <cell r="M14">
            <v>5390.866</v>
          </cell>
          <cell r="N14">
            <v>1982.603</v>
          </cell>
          <cell r="O14">
            <v>64479</v>
          </cell>
          <cell r="Q14">
            <v>374829.724</v>
          </cell>
          <cell r="R14">
            <v>8078.4490000000005</v>
          </cell>
          <cell r="S14">
            <v>10203.008</v>
          </cell>
          <cell r="T14">
            <v>5301.304</v>
          </cell>
          <cell r="U14">
            <v>5153.498</v>
          </cell>
          <cell r="V14">
            <v>58850.633</v>
          </cell>
          <cell r="W14">
            <v>82028.947</v>
          </cell>
          <cell r="X14">
            <v>10516.366</v>
          </cell>
          <cell r="Y14">
            <v>3704.8779999999997</v>
          </cell>
          <cell r="Z14">
            <v>57568.941</v>
          </cell>
          <cell r="AA14">
            <v>397.9</v>
          </cell>
          <cell r="AB14">
            <v>15707.209</v>
          </cell>
          <cell r="AC14">
            <v>9968.36</v>
          </cell>
          <cell r="AD14">
            <v>39371.147</v>
          </cell>
          <cell r="AE14">
            <v>8850.974</v>
          </cell>
          <cell r="AF14">
            <v>59128.11</v>
          </cell>
        </row>
        <row r="15">
          <cell r="B15">
            <v>171315.5285</v>
          </cell>
          <cell r="C15">
            <v>8210.6235</v>
          </cell>
          <cell r="D15">
            <v>778</v>
          </cell>
          <cell r="E15">
            <v>10282.784</v>
          </cell>
          <cell r="F15">
            <v>1442.389</v>
          </cell>
          <cell r="G15">
            <v>10067.5065</v>
          </cell>
          <cell r="H15">
            <v>2409.6725</v>
          </cell>
          <cell r="I15">
            <v>3699.65</v>
          </cell>
          <cell r="J15">
            <v>386</v>
          </cell>
          <cell r="K15">
            <v>38654</v>
          </cell>
          <cell r="L15">
            <v>22458.022</v>
          </cell>
          <cell r="M15">
            <v>5395.324</v>
          </cell>
          <cell r="N15">
            <v>1985.557</v>
          </cell>
          <cell r="O15">
            <v>65546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manip_POP"/>
      <sheetName val="basedata_POP"/>
      <sheetName val="manip_GDP"/>
      <sheetName val="GDP"/>
      <sheetName val="PPP"/>
      <sheetName val="manip_worldbank_GDP"/>
      <sheetName val="basedata_worldbank_GDP"/>
      <sheetName val="manip_eurostat_GDP"/>
      <sheetName val="basedata_eurostat_GDP"/>
      <sheetName val="Chart_1998_GDP_capita"/>
    </sheetNames>
    <sheetDataSet>
      <sheetData sheetId="1">
        <row r="6">
          <cell r="C6">
            <v>8718.3</v>
          </cell>
          <cell r="D6">
            <v>681</v>
          </cell>
          <cell r="E6">
            <v>10362.74</v>
          </cell>
          <cell r="F6">
            <v>1571.05</v>
          </cell>
          <cell r="G6">
            <v>10364.8</v>
          </cell>
          <cell r="H6">
            <v>2670.67</v>
          </cell>
          <cell r="I6">
            <v>3722.35</v>
          </cell>
          <cell r="J6">
            <v>354</v>
          </cell>
          <cell r="K6">
            <v>38119</v>
          </cell>
          <cell r="L6">
            <v>23206.72</v>
          </cell>
          <cell r="M6">
            <v>5297.774</v>
          </cell>
          <cell r="N6">
            <v>1998.09</v>
          </cell>
          <cell r="O6">
            <v>56098</v>
          </cell>
          <cell r="P6">
            <v>106031.49399999999</v>
          </cell>
        </row>
        <row r="7">
          <cell r="B7">
            <v>164189.686</v>
          </cell>
          <cell r="C7">
            <v>8632.3</v>
          </cell>
          <cell r="D7">
            <v>692</v>
          </cell>
          <cell r="E7">
            <v>10308.682</v>
          </cell>
          <cell r="F7">
            <v>1566.334</v>
          </cell>
          <cell r="G7">
            <v>10346</v>
          </cell>
          <cell r="H7">
            <v>2662.414</v>
          </cell>
          <cell r="I7">
            <v>3741.7</v>
          </cell>
          <cell r="J7">
            <v>358</v>
          </cell>
          <cell r="K7">
            <v>38245</v>
          </cell>
          <cell r="L7">
            <v>23185.084</v>
          </cell>
          <cell r="M7">
            <v>5283.404</v>
          </cell>
          <cell r="N7">
            <v>2001.768</v>
          </cell>
          <cell r="O7">
            <v>57167</v>
          </cell>
          <cell r="P7">
            <v>105972.686</v>
          </cell>
        </row>
        <row r="8">
          <cell r="B8">
            <v>164825.588</v>
          </cell>
          <cell r="C8">
            <v>8540.1</v>
          </cell>
          <cell r="D8">
            <v>705</v>
          </cell>
          <cell r="E8">
            <v>10317.807</v>
          </cell>
          <cell r="F8">
            <v>1544.374</v>
          </cell>
          <cell r="G8">
            <v>10323.7</v>
          </cell>
          <cell r="H8">
            <v>2631.567</v>
          </cell>
          <cell r="I8">
            <v>3741.7</v>
          </cell>
          <cell r="J8">
            <v>362</v>
          </cell>
          <cell r="K8">
            <v>38365</v>
          </cell>
          <cell r="L8">
            <v>22788.969</v>
          </cell>
          <cell r="M8">
            <v>5306.539</v>
          </cell>
          <cell r="N8">
            <v>1995.832</v>
          </cell>
          <cell r="O8">
            <v>58203</v>
          </cell>
          <cell r="P8">
            <v>105555.58799999999</v>
          </cell>
        </row>
        <row r="9">
          <cell r="B9">
            <v>165765.015</v>
          </cell>
          <cell r="C9">
            <v>8472.3</v>
          </cell>
          <cell r="D9">
            <v>718</v>
          </cell>
          <cell r="E9">
            <v>10330.607</v>
          </cell>
          <cell r="F9">
            <v>1516.728</v>
          </cell>
          <cell r="G9">
            <v>10293.6</v>
          </cell>
          <cell r="H9">
            <v>2586.015</v>
          </cell>
          <cell r="I9">
            <v>3730.25</v>
          </cell>
          <cell r="J9">
            <v>367</v>
          </cell>
          <cell r="K9">
            <v>38459</v>
          </cell>
          <cell r="L9">
            <v>22755.26</v>
          </cell>
          <cell r="M9">
            <v>5324.632</v>
          </cell>
          <cell r="N9">
            <v>1990.623</v>
          </cell>
          <cell r="O9">
            <v>59221</v>
          </cell>
          <cell r="P9">
            <v>105459.015</v>
          </cell>
        </row>
        <row r="10">
          <cell r="B10">
            <v>166762.8005</v>
          </cell>
          <cell r="C10">
            <v>8443.6</v>
          </cell>
          <cell r="D10">
            <v>732</v>
          </cell>
          <cell r="E10">
            <v>10336.162</v>
          </cell>
          <cell r="F10">
            <v>1499.255</v>
          </cell>
          <cell r="G10">
            <v>10261.35</v>
          </cell>
          <cell r="H10">
            <v>2547.6985</v>
          </cell>
          <cell r="I10">
            <v>3720.85</v>
          </cell>
          <cell r="J10">
            <v>371</v>
          </cell>
          <cell r="K10">
            <v>38544</v>
          </cell>
          <cell r="L10">
            <v>22730.622</v>
          </cell>
          <cell r="M10">
            <v>5347.413</v>
          </cell>
          <cell r="N10">
            <v>1988.85</v>
          </cell>
          <cell r="O10">
            <v>60240</v>
          </cell>
          <cell r="P10">
            <v>105419.80050000001</v>
          </cell>
        </row>
        <row r="11">
          <cell r="B11">
            <v>167695.3345</v>
          </cell>
          <cell r="C11">
            <v>8406.1</v>
          </cell>
          <cell r="D11">
            <v>744</v>
          </cell>
          <cell r="E11">
            <v>10330.759</v>
          </cell>
          <cell r="F11">
            <v>1483.942</v>
          </cell>
          <cell r="G11">
            <v>10229</v>
          </cell>
          <cell r="H11">
            <v>2515.6015</v>
          </cell>
          <cell r="I11">
            <v>3714.8</v>
          </cell>
          <cell r="J11">
            <v>375</v>
          </cell>
          <cell r="K11">
            <v>38588</v>
          </cell>
          <cell r="L11">
            <v>22680.951</v>
          </cell>
          <cell r="M11">
            <v>5363.676</v>
          </cell>
          <cell r="N11">
            <v>1987.505</v>
          </cell>
          <cell r="O11">
            <v>61276</v>
          </cell>
          <cell r="P11">
            <v>105300.33450000001</v>
          </cell>
        </row>
        <row r="12">
          <cell r="B12">
            <v>168595.637</v>
          </cell>
          <cell r="C12">
            <v>8362.8</v>
          </cell>
          <cell r="D12">
            <v>754</v>
          </cell>
          <cell r="E12">
            <v>10315.353</v>
          </cell>
          <cell r="F12">
            <v>1469.216</v>
          </cell>
          <cell r="G12">
            <v>10193.371</v>
          </cell>
          <cell r="H12">
            <v>2490.765</v>
          </cell>
          <cell r="I12">
            <v>3709.55</v>
          </cell>
          <cell r="J12">
            <v>378</v>
          </cell>
          <cell r="K12">
            <v>38618</v>
          </cell>
          <cell r="L12">
            <v>22607.62</v>
          </cell>
          <cell r="M12">
            <v>5373.793</v>
          </cell>
          <cell r="N12">
            <v>1991.169</v>
          </cell>
          <cell r="O12">
            <v>62332</v>
          </cell>
          <cell r="P12">
            <v>105131.63699999999</v>
          </cell>
        </row>
        <row r="13">
          <cell r="B13">
            <v>169516.3395</v>
          </cell>
          <cell r="C13">
            <v>8312.068</v>
          </cell>
          <cell r="D13">
            <v>763</v>
          </cell>
          <cell r="E13">
            <v>10303.642</v>
          </cell>
          <cell r="F13">
            <v>1457.987</v>
          </cell>
          <cell r="G13">
            <v>10154.9</v>
          </cell>
          <cell r="H13">
            <v>2469.1365</v>
          </cell>
          <cell r="I13">
            <v>3705.6</v>
          </cell>
          <cell r="J13">
            <v>381</v>
          </cell>
          <cell r="K13">
            <v>38650</v>
          </cell>
          <cell r="L13">
            <v>22545.925</v>
          </cell>
          <cell r="M13">
            <v>5383.233</v>
          </cell>
          <cell r="N13">
            <v>1986.848</v>
          </cell>
          <cell r="O13">
            <v>63403</v>
          </cell>
          <cell r="P13">
            <v>104969.3395</v>
          </cell>
        </row>
        <row r="14">
          <cell r="B14">
            <v>170442.6105</v>
          </cell>
          <cell r="C14">
            <v>8256.786</v>
          </cell>
          <cell r="D14">
            <v>771</v>
          </cell>
          <cell r="E14">
            <v>10294.943</v>
          </cell>
          <cell r="F14">
            <v>1449.712</v>
          </cell>
          <cell r="G14">
            <v>10113.5735</v>
          </cell>
          <cell r="H14">
            <v>2448.924</v>
          </cell>
          <cell r="I14">
            <v>3702.4</v>
          </cell>
          <cell r="J14">
            <v>384</v>
          </cell>
          <cell r="K14">
            <v>38666</v>
          </cell>
          <cell r="L14">
            <v>22502.803</v>
          </cell>
          <cell r="M14">
            <v>5390.866</v>
          </cell>
          <cell r="N14">
            <v>1982.603</v>
          </cell>
          <cell r="O14">
            <v>64479</v>
          </cell>
          <cell r="P14">
            <v>104808.6105</v>
          </cell>
        </row>
        <row r="15">
          <cell r="B15">
            <v>171315.5285</v>
          </cell>
          <cell r="C15">
            <v>8210.6235</v>
          </cell>
          <cell r="D15">
            <v>778</v>
          </cell>
          <cell r="E15">
            <v>10282.784</v>
          </cell>
          <cell r="F15">
            <v>1442.389</v>
          </cell>
          <cell r="G15">
            <v>10067.5065</v>
          </cell>
          <cell r="H15">
            <v>2409.6725</v>
          </cell>
          <cell r="I15">
            <v>3699.65</v>
          </cell>
          <cell r="J15">
            <v>386</v>
          </cell>
          <cell r="K15">
            <v>38654</v>
          </cell>
          <cell r="L15">
            <v>22458.022</v>
          </cell>
          <cell r="M15">
            <v>5395.324</v>
          </cell>
          <cell r="N15">
            <v>1985.557</v>
          </cell>
          <cell r="O15">
            <v>65546</v>
          </cell>
          <cell r="P15">
            <v>104605.52849999999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me"/>
      <sheetName val="Chart_all_infra"/>
      <sheetName val="data_all_infra"/>
      <sheetName val="data_infra_in_fact_sheet"/>
      <sheetName val="Chart_level_of_use_rail"/>
      <sheetName val="data_level_of_use_rail"/>
      <sheetName val="manip_road"/>
      <sheetName val="basedata_road"/>
      <sheetName val="manip_mway"/>
      <sheetName val="basedata_mway"/>
      <sheetName val="manip_HSR"/>
      <sheetName val="basedata_HSR"/>
      <sheetName val="manip_rway"/>
      <sheetName val="basedata_rway"/>
      <sheetName val="manip_rway_track"/>
      <sheetName val="basedata_rway_track"/>
      <sheetName val="manip_rway_stations"/>
      <sheetName val="basedata_rway_stations"/>
      <sheetName val="manip_wway"/>
      <sheetName val="basedata_wway"/>
      <sheetName val="manip_urban_PT_lines"/>
      <sheetName val="basedata_urban_PT_lines"/>
    </sheetNames>
    <sheetDataSet>
      <sheetData sheetId="8">
        <row r="5">
          <cell r="F5">
            <v>0.19</v>
          </cell>
        </row>
        <row r="6">
          <cell r="F6">
            <v>0.225</v>
          </cell>
        </row>
        <row r="7">
          <cell r="F7">
            <v>0.28</v>
          </cell>
        </row>
        <row r="8">
          <cell r="F8">
            <v>0.33</v>
          </cell>
        </row>
        <row r="9">
          <cell r="F9">
            <v>0.38</v>
          </cell>
        </row>
        <row r="10">
          <cell r="F10">
            <v>0.42</v>
          </cell>
        </row>
        <row r="11">
          <cell r="F11">
            <v>0.47</v>
          </cell>
        </row>
        <row r="12">
          <cell r="F12">
            <v>0.47</v>
          </cell>
        </row>
        <row r="13">
          <cell r="F13">
            <v>0.47</v>
          </cell>
        </row>
        <row r="14">
          <cell r="F14">
            <v>0.47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adme"/>
      <sheetName val="manip_GDP(euro)_EU"/>
      <sheetName val="manip_GDP(euro)_AC"/>
      <sheetName val="basedata_GDP(euro)_Eurostat"/>
      <sheetName val="manip_GDP(US$)_EU"/>
      <sheetName val="manip_GDP(US$)_AC"/>
      <sheetName val="basedata_GDP(US$)_worldbank"/>
      <sheetName val="manip_POP_EU"/>
      <sheetName val="manip_POP_AC"/>
      <sheetName val="basedata_pop"/>
      <sheetName val="basedata_surface"/>
    </sheetNames>
    <sheetDataSet>
      <sheetData sheetId="8">
        <row r="6">
          <cell r="C6">
            <v>8718</v>
          </cell>
          <cell r="D6">
            <v>681</v>
          </cell>
          <cell r="E6">
            <v>10363</v>
          </cell>
          <cell r="F6">
            <v>1571</v>
          </cell>
          <cell r="G6">
            <v>10365</v>
          </cell>
          <cell r="H6">
            <v>2670.7</v>
          </cell>
          <cell r="I6">
            <v>3722</v>
          </cell>
          <cell r="J6">
            <v>360</v>
          </cell>
          <cell r="K6">
            <v>38118.8</v>
          </cell>
          <cell r="L6">
            <v>23207</v>
          </cell>
          <cell r="M6">
            <v>5283</v>
          </cell>
          <cell r="N6">
            <v>1998.1</v>
          </cell>
          <cell r="O6">
            <v>56130</v>
          </cell>
          <cell r="P6">
            <v>75132.6</v>
          </cell>
        </row>
        <row r="7">
          <cell r="C7">
            <v>8632</v>
          </cell>
          <cell r="D7">
            <v>694</v>
          </cell>
          <cell r="E7">
            <v>10309</v>
          </cell>
          <cell r="F7">
            <v>1566</v>
          </cell>
          <cell r="G7">
            <v>10346</v>
          </cell>
          <cell r="H7">
            <v>2662</v>
          </cell>
          <cell r="I7">
            <v>3742</v>
          </cell>
          <cell r="J7">
            <v>363.19</v>
          </cell>
          <cell r="K7">
            <v>38244.4</v>
          </cell>
          <cell r="L7">
            <v>23185</v>
          </cell>
          <cell r="M7">
            <v>5283</v>
          </cell>
          <cell r="N7">
            <v>2001.7</v>
          </cell>
          <cell r="O7">
            <v>57024</v>
          </cell>
          <cell r="P7">
            <v>75211.28999999998</v>
          </cell>
        </row>
        <row r="8">
          <cell r="C8">
            <v>8540</v>
          </cell>
          <cell r="D8">
            <v>707</v>
          </cell>
          <cell r="E8">
            <v>10318</v>
          </cell>
          <cell r="F8">
            <v>1544.43</v>
          </cell>
          <cell r="G8">
            <v>10324</v>
          </cell>
          <cell r="H8">
            <v>2632</v>
          </cell>
          <cell r="I8">
            <v>3742</v>
          </cell>
          <cell r="J8">
            <v>366.58</v>
          </cell>
          <cell r="K8">
            <v>38364.7</v>
          </cell>
          <cell r="L8">
            <v>22789</v>
          </cell>
          <cell r="M8">
            <v>5306.5</v>
          </cell>
          <cell r="N8">
            <v>1996.6</v>
          </cell>
          <cell r="O8">
            <v>57915</v>
          </cell>
          <cell r="P8">
            <v>75301.81</v>
          </cell>
        </row>
        <row r="9">
          <cell r="C9">
            <v>8472</v>
          </cell>
          <cell r="D9">
            <v>718</v>
          </cell>
          <cell r="E9">
            <v>10331</v>
          </cell>
          <cell r="F9">
            <v>1517</v>
          </cell>
          <cell r="G9">
            <v>10294</v>
          </cell>
          <cell r="H9">
            <v>2586</v>
          </cell>
          <cell r="I9">
            <v>3730</v>
          </cell>
          <cell r="J9">
            <v>370.18</v>
          </cell>
          <cell r="K9">
            <v>38459</v>
          </cell>
          <cell r="L9">
            <v>22755</v>
          </cell>
          <cell r="M9">
            <v>5324.6</v>
          </cell>
          <cell r="N9">
            <v>1966.8</v>
          </cell>
          <cell r="O9">
            <v>58808</v>
          </cell>
          <cell r="P9">
            <v>75296.58000000002</v>
          </cell>
        </row>
        <row r="10">
          <cell r="C10">
            <v>8435</v>
          </cell>
          <cell r="D10">
            <v>726</v>
          </cell>
          <cell r="E10">
            <v>10336</v>
          </cell>
          <cell r="F10">
            <v>1499</v>
          </cell>
          <cell r="G10">
            <v>10261</v>
          </cell>
          <cell r="H10">
            <v>2548</v>
          </cell>
          <cell r="I10">
            <v>3721</v>
          </cell>
          <cell r="J10">
            <v>373.98</v>
          </cell>
          <cell r="K10">
            <v>38543.6</v>
          </cell>
          <cell r="L10">
            <v>22731</v>
          </cell>
          <cell r="M10">
            <v>5347.3</v>
          </cell>
          <cell r="N10">
            <v>1988.9</v>
          </cell>
          <cell r="O10">
            <v>59709</v>
          </cell>
          <cell r="P10">
            <v>75344.78</v>
          </cell>
        </row>
        <row r="11">
          <cell r="C11">
            <v>8400</v>
          </cell>
          <cell r="D11">
            <v>732</v>
          </cell>
          <cell r="E11">
            <v>10331</v>
          </cell>
          <cell r="F11">
            <v>1475</v>
          </cell>
          <cell r="G11">
            <v>10230</v>
          </cell>
          <cell r="H11">
            <v>2516</v>
          </cell>
          <cell r="I11">
            <v>3715</v>
          </cell>
          <cell r="J11">
            <v>378</v>
          </cell>
          <cell r="K11">
            <v>38587.6</v>
          </cell>
          <cell r="L11">
            <v>22681</v>
          </cell>
          <cell r="M11">
            <v>5363.68</v>
          </cell>
          <cell r="N11">
            <v>1990</v>
          </cell>
          <cell r="O11">
            <v>60611</v>
          </cell>
          <cell r="P11">
            <v>75318.28</v>
          </cell>
        </row>
        <row r="12">
          <cell r="C12">
            <v>8356</v>
          </cell>
          <cell r="D12">
            <v>738</v>
          </cell>
          <cell r="E12">
            <v>10315</v>
          </cell>
          <cell r="F12">
            <v>1450.13</v>
          </cell>
          <cell r="G12">
            <v>10193</v>
          </cell>
          <cell r="H12">
            <v>2491</v>
          </cell>
          <cell r="I12">
            <v>3709</v>
          </cell>
          <cell r="J12">
            <v>380</v>
          </cell>
          <cell r="K12">
            <v>38618</v>
          </cell>
          <cell r="L12">
            <v>22608</v>
          </cell>
          <cell r="M12">
            <v>5373.79</v>
          </cell>
          <cell r="N12">
            <v>1991</v>
          </cell>
          <cell r="O12">
            <v>61528</v>
          </cell>
          <cell r="P12">
            <v>75258.91999999998</v>
          </cell>
        </row>
        <row r="13">
          <cell r="C13">
            <v>8312.07</v>
          </cell>
          <cell r="D13">
            <v>744</v>
          </cell>
          <cell r="E13">
            <v>10304.1</v>
          </cell>
          <cell r="F13">
            <v>1427.16</v>
          </cell>
          <cell r="G13">
            <v>10154.9</v>
          </cell>
          <cell r="H13">
            <v>2469</v>
          </cell>
          <cell r="I13">
            <v>3705.59</v>
          </cell>
          <cell r="J13">
            <v>383</v>
          </cell>
          <cell r="K13">
            <v>38650</v>
          </cell>
          <cell r="L13">
            <v>22554</v>
          </cell>
          <cell r="M13">
            <v>5383.23</v>
          </cell>
          <cell r="N13">
            <v>1985.96</v>
          </cell>
          <cell r="O13">
            <v>62455</v>
          </cell>
          <cell r="P13">
            <v>75206.94</v>
          </cell>
        </row>
        <row r="14">
          <cell r="C14">
            <v>8257</v>
          </cell>
          <cell r="D14">
            <v>749</v>
          </cell>
          <cell r="E14">
            <v>10294.9</v>
          </cell>
          <cell r="F14">
            <v>1406.03</v>
          </cell>
          <cell r="G14">
            <v>10114</v>
          </cell>
          <cell r="H14">
            <v>2449</v>
          </cell>
          <cell r="I14">
            <v>3703</v>
          </cell>
          <cell r="J14">
            <v>385</v>
          </cell>
          <cell r="K14">
            <v>38666.152</v>
          </cell>
          <cell r="L14">
            <v>22503</v>
          </cell>
          <cell r="M14">
            <v>5390.66</v>
          </cell>
          <cell r="N14">
            <v>1982.6</v>
          </cell>
          <cell r="O14">
            <v>63391</v>
          </cell>
          <cell r="P14">
            <v>75140.342</v>
          </cell>
        </row>
        <row r="15">
          <cell r="C15">
            <v>8208</v>
          </cell>
          <cell r="D15">
            <v>754</v>
          </cell>
          <cell r="E15">
            <v>10278.18</v>
          </cell>
          <cell r="F15">
            <v>1386.67</v>
          </cell>
          <cell r="G15">
            <v>10068</v>
          </cell>
          <cell r="H15">
            <v>2410</v>
          </cell>
          <cell r="I15">
            <v>3699</v>
          </cell>
          <cell r="J15">
            <v>388</v>
          </cell>
          <cell r="K15">
            <v>38654</v>
          </cell>
          <cell r="L15">
            <v>22457.99</v>
          </cell>
          <cell r="M15">
            <v>5395.12</v>
          </cell>
          <cell r="N15">
            <v>1985.5</v>
          </cell>
          <cell r="O15">
            <v>64337</v>
          </cell>
          <cell r="P15">
            <v>75018.47000000002</v>
          </cell>
        </row>
        <row r="16">
          <cell r="C16">
            <v>8166.96</v>
          </cell>
          <cell r="D16">
            <v>757</v>
          </cell>
          <cell r="E16">
            <v>10273.3</v>
          </cell>
          <cell r="F16">
            <v>1369</v>
          </cell>
          <cell r="G16">
            <v>10022</v>
          </cell>
          <cell r="H16">
            <v>2372</v>
          </cell>
          <cell r="I16">
            <v>3695</v>
          </cell>
          <cell r="J16">
            <v>390</v>
          </cell>
          <cell r="K16">
            <v>38650</v>
          </cell>
          <cell r="L16">
            <v>22435</v>
          </cell>
          <cell r="M16">
            <v>5401.79</v>
          </cell>
          <cell r="N16">
            <v>1988</v>
          </cell>
          <cell r="O16">
            <v>65293</v>
          </cell>
          <cell r="P16">
            <v>74918.08999999998</v>
          </cell>
        </row>
      </sheetData>
      <sheetData sheetId="10">
        <row r="6">
          <cell r="B6">
            <v>738556</v>
          </cell>
          <cell r="D6">
            <v>110994</v>
          </cell>
          <cell r="E6">
            <v>9251</v>
          </cell>
          <cell r="F6">
            <v>78866</v>
          </cell>
          <cell r="G6">
            <v>45227</v>
          </cell>
          <cell r="H6">
            <v>93030</v>
          </cell>
          <cell r="I6">
            <v>64589</v>
          </cell>
          <cell r="J6">
            <v>65300</v>
          </cell>
          <cell r="K6">
            <v>316</v>
          </cell>
          <cell r="L6">
            <v>312685</v>
          </cell>
          <cell r="M6">
            <v>238391</v>
          </cell>
          <cell r="N6">
            <v>49036</v>
          </cell>
          <cell r="O6">
            <v>20256</v>
          </cell>
          <cell r="P6">
            <v>774815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adme"/>
      <sheetName val="Chart_all_infra"/>
      <sheetName val="data_all_infra"/>
      <sheetName val="data_infra_in_fact_sheet"/>
      <sheetName val="Chart_level_of_use_rail"/>
      <sheetName val="data_level_of_use_rail"/>
      <sheetName val="manip_mway"/>
      <sheetName val="basedata_mway"/>
      <sheetName val="manip_HSR"/>
      <sheetName val="basedata_HSR"/>
      <sheetName val="manip_rway"/>
      <sheetName val="basedata_rway"/>
      <sheetName val="manip_wway"/>
      <sheetName val="basedata wway"/>
      <sheetName val="manip_oil pipelines"/>
      <sheetName val="basedata oil pipelines"/>
      <sheetName val="manip_urban_PT_lines"/>
      <sheetName val="basedata_urban_PT_lines"/>
    </sheetNames>
    <sheetDataSet>
      <sheetData sheetId="3">
        <row r="24">
          <cell r="B24">
            <v>15.93020512575382</v>
          </cell>
          <cell r="C24">
            <v>0.13723714965220202</v>
          </cell>
          <cell r="D24">
            <v>47.18462859795013</v>
          </cell>
          <cell r="E24">
            <v>0.40649093248094825</v>
          </cell>
        </row>
      </sheetData>
      <sheetData sheetId="5">
        <row r="7">
          <cell r="B7">
            <v>1.6292752429690918</v>
          </cell>
        </row>
        <row r="8">
          <cell r="B8">
            <v>1.9649360764168022</v>
          </cell>
        </row>
        <row r="9">
          <cell r="B9">
            <v>116.07793637601404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adme"/>
      <sheetName val="data_factsheet"/>
      <sheetName val="data_freight_GDP"/>
      <sheetName val="GDP"/>
      <sheetName val="Demand"/>
      <sheetName val="data_key_graph"/>
      <sheetName val="Chart_freight_intensity_96_99"/>
      <sheetName val="data_freight_intensity_96+99"/>
      <sheetName val="Chart_modal_split_1999"/>
      <sheetName val="data_modal_split_1999"/>
      <sheetName val="Chart_modal_split_96-2000"/>
      <sheetName val="data_modal_split_96-99"/>
      <sheetName val="Graph increase share road"/>
      <sheetName val="Graph increase share rail"/>
      <sheetName val="data increase share road"/>
      <sheetName val="Chart_trade_volumes"/>
      <sheetName val="data_trade_volumes"/>
      <sheetName val="Chart_EU_AC-trade_split"/>
      <sheetName val="data_EU_AC-trade_split"/>
      <sheetName val="Chart_maritime_tonnes"/>
      <sheetName val="data_maritime_tonnes"/>
      <sheetName val="Chart_hazard_goods_Latvia"/>
      <sheetName val="data_hazard_goods_Latvia"/>
      <sheetName val="modal_split"/>
      <sheetName val="country_split"/>
      <sheetName val="manip_road"/>
      <sheetName val="basedata_road"/>
      <sheetName val="manip_rail"/>
      <sheetName val="basedata_rail"/>
      <sheetName val="manip_inlandwaterways"/>
      <sheetName val="basedata_inlandwaterways"/>
      <sheetName val="manip_oilpipelines"/>
      <sheetName val="basedata_oilpipelines"/>
      <sheetName val="manip_EU-15"/>
      <sheetName val="basedata_EU-15"/>
      <sheetName val="manip_maritime_tonnes"/>
      <sheetName val="basedata_maritime_tonnes"/>
      <sheetName val="manip_intermodal"/>
      <sheetName val="basedata_intermodal"/>
      <sheetName val="manip_hazardous_goods"/>
      <sheetName val="basedata_hazardous_goods"/>
      <sheetName val="trade_with_Russian_Federation"/>
      <sheetName val="structure_of_production"/>
      <sheetName val="NST-R_category"/>
      <sheetName val="Air"/>
    </sheetNames>
    <sheetDataSet>
      <sheetData sheetId="27">
        <row r="8">
          <cell r="C8">
            <v>5297</v>
          </cell>
          <cell r="P8">
            <v>119514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adme"/>
      <sheetName val="data_factsheet"/>
      <sheetName val="Chart_indices_pkm"/>
      <sheetName val="data_indices_pkm"/>
      <sheetName val="Chart_change_rail_bus"/>
      <sheetName val="data_change_rail_bus"/>
      <sheetName val="Chart_modal_split_ECMT"/>
      <sheetName val="modal_split_ECMT"/>
      <sheetName val="Car ownership"/>
      <sheetName val="Energy consumption"/>
      <sheetName val="all_modes"/>
      <sheetName val="manip_passenger_cars"/>
      <sheetName val="basedata_passenger_cars"/>
      <sheetName val="manip_rail"/>
      <sheetName val="basedata_rail"/>
      <sheetName val="manip_buses"/>
      <sheetName val="basedata_buses"/>
      <sheetName val="manip_air"/>
      <sheetName val="basedata_air"/>
      <sheetName val="manip_EU-15"/>
      <sheetName val="basedata_EU-15"/>
    </sheetNames>
    <sheetDataSet>
      <sheetData sheetId="13">
        <row r="14">
          <cell r="F14">
            <v>236</v>
          </cell>
          <cell r="O14">
            <v>6160</v>
          </cell>
        </row>
        <row r="15">
          <cell r="C15">
            <v>3819</v>
          </cell>
          <cell r="E15">
            <v>6957</v>
          </cell>
          <cell r="G15">
            <v>9514</v>
          </cell>
          <cell r="H15">
            <v>984</v>
          </cell>
          <cell r="I15">
            <v>745</v>
          </cell>
          <cell r="K15">
            <v>21518</v>
          </cell>
          <cell r="L15">
            <v>12304</v>
          </cell>
          <cell r="M15">
            <v>2968</v>
          </cell>
          <cell r="N15">
            <v>623</v>
          </cell>
          <cell r="Q15">
            <v>43545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s>
</file>

<file path=xl/worksheets/_rels/sheet15.xml.rels><?xml version="1.0" encoding="utf-8" standalone="yes"?><Relationships xmlns="http://schemas.openxmlformats.org/package/2006/relationships"><Relationship Id="rId1" Type="http://schemas.openxmlformats.org/officeDocument/2006/relationships/hyperlink" Target="http://www.unece.org/stats/trend_h.htm" TargetMode="Externa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4.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5.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C13"/>
  <sheetViews>
    <sheetView workbookViewId="0" topLeftCell="A1">
      <selection activeCell="H22" sqref="H22"/>
    </sheetView>
  </sheetViews>
  <sheetFormatPr defaultColWidth="9.00390625" defaultRowHeight="12.75"/>
  <cols>
    <col min="1" max="1" width="10.75390625" style="1" customWidth="1"/>
    <col min="2" max="16384" width="9.25390625" style="1" customWidth="1"/>
  </cols>
  <sheetData>
    <row r="1" spans="1:3" ht="11.25">
      <c r="A1" s="14" t="s">
        <v>21</v>
      </c>
      <c r="B1" s="14"/>
      <c r="C1" s="15"/>
    </row>
    <row r="2" spans="1:3" ht="11.25">
      <c r="A2" s="15"/>
      <c r="B2" s="134"/>
      <c r="C2" s="15"/>
    </row>
    <row r="3" spans="1:2" ht="11.25">
      <c r="A3" s="15" t="s">
        <v>17</v>
      </c>
      <c r="B3" s="135" t="s">
        <v>22</v>
      </c>
    </row>
    <row r="4" spans="1:2" ht="11.25">
      <c r="A4" s="15"/>
      <c r="B4" s="135" t="s">
        <v>23</v>
      </c>
    </row>
    <row r="5" spans="1:3" ht="11.25">
      <c r="A5" s="15"/>
      <c r="B5" s="135" t="s">
        <v>36</v>
      </c>
      <c r="C5" s="15"/>
    </row>
    <row r="6" spans="1:3" ht="11.25">
      <c r="A6" s="15"/>
      <c r="B6" s="135" t="s">
        <v>46</v>
      </c>
      <c r="C6" s="15"/>
    </row>
    <row r="7" spans="1:3" ht="11.25">
      <c r="A7" s="15"/>
      <c r="B7" s="135" t="s">
        <v>47</v>
      </c>
      <c r="C7" s="15"/>
    </row>
    <row r="8" spans="1:3" ht="11.25">
      <c r="A8" s="15"/>
      <c r="B8" s="135"/>
      <c r="C8" s="15"/>
    </row>
    <row r="9" spans="1:3" ht="11.25">
      <c r="A9" s="15" t="s">
        <v>19</v>
      </c>
      <c r="B9" s="134" t="s">
        <v>252</v>
      </c>
      <c r="C9" s="15"/>
    </row>
    <row r="10" spans="1:3" ht="11.25">
      <c r="A10" s="15"/>
      <c r="B10" s="134" t="s">
        <v>24</v>
      </c>
      <c r="C10" s="15"/>
    </row>
    <row r="11" spans="1:3" ht="11.25">
      <c r="A11" s="15"/>
      <c r="B11" s="134"/>
      <c r="C11" s="15"/>
    </row>
    <row r="12" spans="1:3" ht="11.25">
      <c r="A12" s="15" t="s">
        <v>18</v>
      </c>
      <c r="B12" s="134" t="s">
        <v>25</v>
      </c>
      <c r="C12" s="15"/>
    </row>
    <row r="13" spans="1:3" ht="11.25">
      <c r="A13" s="15"/>
      <c r="B13" s="134" t="s">
        <v>26</v>
      </c>
      <c r="C13" s="15"/>
    </row>
  </sheetData>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O38"/>
  <sheetViews>
    <sheetView workbookViewId="0" topLeftCell="A16">
      <selection activeCell="C27" sqref="C27"/>
    </sheetView>
  </sheetViews>
  <sheetFormatPr defaultColWidth="9.00390625" defaultRowHeight="12.75"/>
  <cols>
    <col min="1" max="15" width="9.125" style="1" customWidth="1"/>
    <col min="16" max="16384" width="9.25390625" style="1" customWidth="1"/>
  </cols>
  <sheetData>
    <row r="1" spans="1:15" ht="11.25">
      <c r="A1" s="4" t="s">
        <v>207</v>
      </c>
      <c r="B1" s="5"/>
      <c r="C1" s="5"/>
      <c r="D1" s="5"/>
      <c r="E1" s="5"/>
      <c r="F1" s="5"/>
      <c r="G1" s="5"/>
      <c r="H1" s="5"/>
      <c r="I1" s="5"/>
      <c r="J1" s="5"/>
      <c r="K1" s="5"/>
      <c r="L1" s="5"/>
      <c r="M1" s="5"/>
      <c r="N1" s="5"/>
      <c r="O1" s="10"/>
    </row>
    <row r="2" spans="1:15" ht="11.25">
      <c r="A2" s="18" t="s">
        <v>27</v>
      </c>
      <c r="B2" s="5"/>
      <c r="C2" s="5"/>
      <c r="D2" s="5"/>
      <c r="E2" s="5"/>
      <c r="F2" s="5"/>
      <c r="G2" s="5"/>
      <c r="H2" s="5"/>
      <c r="I2" s="5"/>
      <c r="J2" s="5"/>
      <c r="K2" s="5"/>
      <c r="L2" s="5"/>
      <c r="M2" s="5"/>
      <c r="N2" s="5"/>
      <c r="O2" s="10"/>
    </row>
    <row r="3" spans="1:15" ht="11.25">
      <c r="A3" s="5"/>
      <c r="B3" s="5"/>
      <c r="C3" s="5"/>
      <c r="D3" s="5"/>
      <c r="E3" s="5"/>
      <c r="F3" s="5"/>
      <c r="G3" s="5"/>
      <c r="H3" s="5"/>
      <c r="I3" s="5"/>
      <c r="J3" s="5"/>
      <c r="K3" s="5"/>
      <c r="L3" s="5"/>
      <c r="M3" s="5"/>
      <c r="N3" s="5"/>
      <c r="O3" s="10"/>
    </row>
    <row r="4" spans="1:15" ht="11.25">
      <c r="A4" s="5"/>
      <c r="B4" s="19" t="s">
        <v>28</v>
      </c>
      <c r="C4" s="20" t="s">
        <v>0</v>
      </c>
      <c r="D4" s="20" t="s">
        <v>29</v>
      </c>
      <c r="E4" s="20" t="s">
        <v>1</v>
      </c>
      <c r="F4" s="20" t="s">
        <v>2</v>
      </c>
      <c r="G4" s="20" t="s">
        <v>3</v>
      </c>
      <c r="H4" s="20" t="s">
        <v>4</v>
      </c>
      <c r="I4" s="20" t="s">
        <v>5</v>
      </c>
      <c r="J4" s="20" t="s">
        <v>30</v>
      </c>
      <c r="K4" s="20" t="s">
        <v>6</v>
      </c>
      <c r="L4" s="20" t="s">
        <v>7</v>
      </c>
      <c r="M4" s="20" t="s">
        <v>8</v>
      </c>
      <c r="N4" s="20" t="s">
        <v>9</v>
      </c>
      <c r="O4" s="21" t="s">
        <v>31</v>
      </c>
    </row>
    <row r="5" spans="1:15" ht="12.75">
      <c r="A5" s="5">
        <v>1990</v>
      </c>
      <c r="B5" s="90">
        <f>SUM(C5:O5)</f>
        <v>77813</v>
      </c>
      <c r="C5" s="103">
        <v>4299</v>
      </c>
      <c r="D5" s="103">
        <v>0</v>
      </c>
      <c r="E5" s="103">
        <v>9451</v>
      </c>
      <c r="F5" s="103">
        <v>1026</v>
      </c>
      <c r="G5" s="103">
        <v>7772</v>
      </c>
      <c r="H5" s="103">
        <v>2397</v>
      </c>
      <c r="I5" s="103">
        <v>2007</v>
      </c>
      <c r="J5" s="103">
        <v>0</v>
      </c>
      <c r="K5" s="103">
        <v>26228</v>
      </c>
      <c r="L5" s="103">
        <v>11348</v>
      </c>
      <c r="M5" s="103">
        <v>3660</v>
      </c>
      <c r="N5" s="103">
        <v>1196</v>
      </c>
      <c r="O5" s="103">
        <v>8429</v>
      </c>
    </row>
    <row r="6" spans="1:15" ht="12.75">
      <c r="A6" s="5">
        <v>1991</v>
      </c>
      <c r="B6" s="90">
        <f aca="true" t="shared" si="0" ref="B6:B16">SUM(C6:O6)</f>
        <v>77453</v>
      </c>
      <c r="C6" s="103">
        <v>4299</v>
      </c>
      <c r="D6" s="103">
        <v>0</v>
      </c>
      <c r="E6" s="103">
        <v>9454</v>
      </c>
      <c r="F6" s="103">
        <v>1026</v>
      </c>
      <c r="G6" s="103">
        <v>7766</v>
      </c>
      <c r="H6" s="103">
        <v>2397</v>
      </c>
      <c r="I6" s="103">
        <v>2007</v>
      </c>
      <c r="J6" s="103">
        <v>0</v>
      </c>
      <c r="K6" s="103">
        <v>25848</v>
      </c>
      <c r="L6" s="103">
        <v>11365</v>
      </c>
      <c r="M6" s="103">
        <v>3661</v>
      </c>
      <c r="N6" s="103">
        <v>1201</v>
      </c>
      <c r="O6" s="103">
        <v>8429</v>
      </c>
    </row>
    <row r="7" spans="1:15" ht="12.75">
      <c r="A7" s="5">
        <v>1992</v>
      </c>
      <c r="B7" s="90">
        <f t="shared" si="0"/>
        <v>76842.2</v>
      </c>
      <c r="C7" s="103">
        <v>4294</v>
      </c>
      <c r="D7" s="103">
        <v>0</v>
      </c>
      <c r="E7" s="103">
        <v>9439</v>
      </c>
      <c r="F7" s="103">
        <v>1018.4</v>
      </c>
      <c r="G7" s="103">
        <v>7707</v>
      </c>
      <c r="H7" s="103">
        <v>2406</v>
      </c>
      <c r="I7" s="103">
        <v>2001.8</v>
      </c>
      <c r="J7" s="103">
        <v>0</v>
      </c>
      <c r="K7" s="103">
        <v>25254</v>
      </c>
      <c r="L7" s="103">
        <v>11430</v>
      </c>
      <c r="M7" s="103">
        <v>3661</v>
      </c>
      <c r="N7" s="103">
        <v>1201</v>
      </c>
      <c r="O7" s="103">
        <v>8430</v>
      </c>
    </row>
    <row r="8" spans="1:15" ht="12.75">
      <c r="A8" s="5">
        <v>1993</v>
      </c>
      <c r="B8" s="90">
        <f t="shared" si="0"/>
        <v>76480.8</v>
      </c>
      <c r="C8" s="103">
        <v>4294</v>
      </c>
      <c r="D8" s="103">
        <v>0</v>
      </c>
      <c r="E8" s="103">
        <v>9441</v>
      </c>
      <c r="F8" s="103">
        <v>1024</v>
      </c>
      <c r="G8" s="103">
        <v>7709</v>
      </c>
      <c r="H8" s="103">
        <v>2413</v>
      </c>
      <c r="I8" s="103">
        <v>2001.8</v>
      </c>
      <c r="J8" s="103">
        <v>0</v>
      </c>
      <c r="K8" s="103">
        <v>24926</v>
      </c>
      <c r="L8" s="103">
        <v>11380</v>
      </c>
      <c r="M8" s="103">
        <v>3661</v>
      </c>
      <c r="N8" s="103">
        <v>1201</v>
      </c>
      <c r="O8" s="103">
        <v>8430</v>
      </c>
    </row>
    <row r="9" spans="1:15" ht="12.75">
      <c r="A9" s="5">
        <v>1994</v>
      </c>
      <c r="B9" s="90">
        <f t="shared" si="0"/>
        <v>75820.8</v>
      </c>
      <c r="C9" s="103">
        <v>4291</v>
      </c>
      <c r="D9" s="103">
        <v>0</v>
      </c>
      <c r="E9" s="103">
        <v>9375</v>
      </c>
      <c r="F9" s="103">
        <v>1024</v>
      </c>
      <c r="G9" s="103">
        <v>7715</v>
      </c>
      <c r="H9" s="103">
        <v>2413</v>
      </c>
      <c r="I9" s="103">
        <v>2001.8</v>
      </c>
      <c r="J9" s="103">
        <v>0</v>
      </c>
      <c r="K9" s="103">
        <v>24313</v>
      </c>
      <c r="L9" s="103">
        <v>11374</v>
      </c>
      <c r="M9" s="103">
        <v>3661</v>
      </c>
      <c r="N9" s="103">
        <v>1201</v>
      </c>
      <c r="O9" s="103">
        <v>8452</v>
      </c>
    </row>
    <row r="10" spans="1:15" ht="12.75">
      <c r="A10" s="5">
        <v>1995</v>
      </c>
      <c r="B10" s="90">
        <f t="shared" si="0"/>
        <v>75464.5</v>
      </c>
      <c r="C10" s="103">
        <v>4293</v>
      </c>
      <c r="D10" s="103">
        <v>0</v>
      </c>
      <c r="E10" s="103">
        <v>9327</v>
      </c>
      <c r="F10" s="103">
        <v>1020.7</v>
      </c>
      <c r="G10" s="103">
        <v>7632</v>
      </c>
      <c r="H10" s="103">
        <v>2413</v>
      </c>
      <c r="I10" s="103">
        <v>2001.8</v>
      </c>
      <c r="J10" s="103">
        <v>0</v>
      </c>
      <c r="K10" s="103">
        <v>23986</v>
      </c>
      <c r="L10" s="103">
        <v>11376</v>
      </c>
      <c r="M10" s="103">
        <v>3665</v>
      </c>
      <c r="N10" s="103">
        <v>1201</v>
      </c>
      <c r="O10" s="103">
        <v>8549</v>
      </c>
    </row>
    <row r="11" spans="1:15" ht="12.75">
      <c r="A11" s="5">
        <v>1996</v>
      </c>
      <c r="B11" s="90">
        <f t="shared" si="0"/>
        <v>75057.8</v>
      </c>
      <c r="C11" s="103">
        <v>4293</v>
      </c>
      <c r="D11" s="103">
        <v>0</v>
      </c>
      <c r="E11" s="103">
        <v>9430</v>
      </c>
      <c r="F11" s="103">
        <v>1020</v>
      </c>
      <c r="G11" s="103">
        <v>7619</v>
      </c>
      <c r="H11" s="103">
        <v>2413</v>
      </c>
      <c r="I11" s="103">
        <v>1996.8</v>
      </c>
      <c r="J11" s="103">
        <v>0</v>
      </c>
      <c r="K11" s="103">
        <v>23420</v>
      </c>
      <c r="L11" s="103">
        <v>11385</v>
      </c>
      <c r="M11" s="103">
        <v>3673</v>
      </c>
      <c r="N11" s="103">
        <v>1201</v>
      </c>
      <c r="O11" s="103">
        <v>8607</v>
      </c>
    </row>
    <row r="12" spans="1:15" ht="12.75">
      <c r="A12" s="5">
        <v>1997</v>
      </c>
      <c r="B12" s="90">
        <f t="shared" si="0"/>
        <v>74931.2</v>
      </c>
      <c r="C12" s="103">
        <v>4291</v>
      </c>
      <c r="D12" s="103">
        <v>0</v>
      </c>
      <c r="E12" s="103">
        <v>9430</v>
      </c>
      <c r="F12" s="103">
        <v>1018</v>
      </c>
      <c r="G12" s="103">
        <v>7593</v>
      </c>
      <c r="H12" s="103">
        <v>2413</v>
      </c>
      <c r="I12" s="103">
        <v>1997.2</v>
      </c>
      <c r="J12" s="103">
        <v>0</v>
      </c>
      <c r="K12" s="103">
        <v>23328</v>
      </c>
      <c r="L12" s="103">
        <v>11380</v>
      </c>
      <c r="M12" s="103">
        <v>3673</v>
      </c>
      <c r="N12" s="103">
        <v>1201</v>
      </c>
      <c r="O12" s="103">
        <v>8607</v>
      </c>
    </row>
    <row r="13" spans="1:15" ht="12.75">
      <c r="A13" s="5">
        <v>1998</v>
      </c>
      <c r="B13" s="90">
        <f t="shared" si="0"/>
        <v>74433</v>
      </c>
      <c r="C13" s="103">
        <v>4290</v>
      </c>
      <c r="D13" s="103">
        <v>0</v>
      </c>
      <c r="E13" s="103">
        <v>9430</v>
      </c>
      <c r="F13" s="103">
        <v>968</v>
      </c>
      <c r="G13" s="103">
        <v>7642</v>
      </c>
      <c r="H13" s="103">
        <v>2413</v>
      </c>
      <c r="I13" s="103">
        <v>1997</v>
      </c>
      <c r="J13" s="103">
        <v>0</v>
      </c>
      <c r="K13" s="103">
        <v>23210</v>
      </c>
      <c r="L13" s="103">
        <v>11010</v>
      </c>
      <c r="M13" s="103">
        <v>3665</v>
      </c>
      <c r="N13" s="103">
        <v>1201</v>
      </c>
      <c r="O13" s="103">
        <v>8607</v>
      </c>
    </row>
    <row r="14" spans="1:15" ht="12.75">
      <c r="A14" s="5">
        <v>1999</v>
      </c>
      <c r="B14" s="90">
        <f t="shared" si="0"/>
        <v>74091</v>
      </c>
      <c r="C14" s="103">
        <v>4290</v>
      </c>
      <c r="D14" s="103">
        <v>0</v>
      </c>
      <c r="E14" s="103">
        <v>9444</v>
      </c>
      <c r="F14" s="103">
        <v>968</v>
      </c>
      <c r="G14" s="103">
        <v>7651</v>
      </c>
      <c r="H14" s="103">
        <v>2413</v>
      </c>
      <c r="I14" s="103">
        <v>1905</v>
      </c>
      <c r="J14" s="103">
        <v>0</v>
      </c>
      <c r="K14" s="103">
        <v>22891</v>
      </c>
      <c r="L14" s="103">
        <v>10981</v>
      </c>
      <c r="M14" s="103">
        <v>3665</v>
      </c>
      <c r="N14" s="103">
        <v>1201</v>
      </c>
      <c r="O14" s="103">
        <v>8682</v>
      </c>
    </row>
    <row r="15" spans="1:15" ht="12.75">
      <c r="A15" s="5">
        <v>2000</v>
      </c>
      <c r="B15" s="90">
        <f t="shared" si="0"/>
        <v>73758.7</v>
      </c>
      <c r="C15" s="103">
        <v>4320</v>
      </c>
      <c r="D15" s="103">
        <v>0</v>
      </c>
      <c r="E15" s="103">
        <v>9444</v>
      </c>
      <c r="F15" s="103">
        <v>968</v>
      </c>
      <c r="G15" s="103">
        <v>7679</v>
      </c>
      <c r="H15" s="103">
        <v>2331</v>
      </c>
      <c r="I15" s="103">
        <v>1904.7</v>
      </c>
      <c r="J15" s="103">
        <v>0</v>
      </c>
      <c r="K15" s="103">
        <v>22560</v>
      </c>
      <c r="L15" s="103">
        <v>11015</v>
      </c>
      <c r="M15" s="103">
        <v>3665</v>
      </c>
      <c r="N15" s="103">
        <v>1201</v>
      </c>
      <c r="O15" s="103">
        <v>8671</v>
      </c>
    </row>
    <row r="16" spans="1:15" ht="12.75">
      <c r="A16" s="5">
        <v>2001</v>
      </c>
      <c r="B16" s="90" t="e">
        <f t="shared" si="0"/>
        <v>#N/A</v>
      </c>
      <c r="C16" s="103" t="e">
        <f>NA()</f>
        <v>#N/A</v>
      </c>
      <c r="D16" s="103">
        <v>0</v>
      </c>
      <c r="E16" s="103">
        <v>9523</v>
      </c>
      <c r="F16" s="103" t="e">
        <f>NA()</f>
        <v>#N/A</v>
      </c>
      <c r="G16" s="103" t="e">
        <f>NA()</f>
        <v>#N/A</v>
      </c>
      <c r="H16" s="103">
        <v>2305</v>
      </c>
      <c r="I16" s="103">
        <v>1695.8</v>
      </c>
      <c r="J16" s="103">
        <v>0</v>
      </c>
      <c r="K16" s="103" t="e">
        <f>NA()</f>
        <v>#N/A</v>
      </c>
      <c r="L16" s="103" t="e">
        <f>NA()</f>
        <v>#N/A</v>
      </c>
      <c r="M16" s="103">
        <v>3665</v>
      </c>
      <c r="N16" s="103">
        <v>1228.6</v>
      </c>
      <c r="O16" s="103" t="e">
        <f>NA()</f>
        <v>#N/A</v>
      </c>
    </row>
    <row r="20" ht="11.25">
      <c r="A20" s="1" t="s">
        <v>273</v>
      </c>
    </row>
    <row r="22" ht="11.25">
      <c r="A22" s="3" t="s">
        <v>239</v>
      </c>
    </row>
    <row r="23" ht="11.25">
      <c r="A23" s="23" t="s">
        <v>27</v>
      </c>
    </row>
    <row r="26" spans="2:15" ht="11.25">
      <c r="B26" s="34" t="s">
        <v>95</v>
      </c>
      <c r="C26" s="35" t="s">
        <v>0</v>
      </c>
      <c r="D26" s="35" t="s">
        <v>29</v>
      </c>
      <c r="E26" s="35" t="s">
        <v>1</v>
      </c>
      <c r="F26" s="35" t="s">
        <v>2</v>
      </c>
      <c r="G26" s="35" t="s">
        <v>3</v>
      </c>
      <c r="H26" s="35" t="s">
        <v>4</v>
      </c>
      <c r="I26" s="35" t="s">
        <v>5</v>
      </c>
      <c r="J26" s="35" t="s">
        <v>30</v>
      </c>
      <c r="K26" s="35" t="s">
        <v>6</v>
      </c>
      <c r="L26" s="35" t="s">
        <v>7</v>
      </c>
      <c r="M26" s="35" t="s">
        <v>8</v>
      </c>
      <c r="N26" s="35" t="s">
        <v>9</v>
      </c>
      <c r="O26" s="21" t="s">
        <v>31</v>
      </c>
    </row>
    <row r="27" spans="1:15" ht="11.25">
      <c r="A27" s="34">
        <v>1990</v>
      </c>
      <c r="B27" s="121">
        <f>IF(COUNT(C27:O27)=11,SUM(C27:O27),":")</f>
        <v>25492</v>
      </c>
      <c r="C27" s="121">
        <v>2640</v>
      </c>
      <c r="D27" s="122" t="s">
        <v>240</v>
      </c>
      <c r="E27" s="121">
        <v>2579</v>
      </c>
      <c r="F27" s="1">
        <v>132</v>
      </c>
      <c r="G27" s="121">
        <v>2249</v>
      </c>
      <c r="H27" s="121">
        <v>271</v>
      </c>
      <c r="I27" s="121">
        <v>122</v>
      </c>
      <c r="J27" s="122" t="s">
        <v>240</v>
      </c>
      <c r="K27" s="121">
        <v>11387</v>
      </c>
      <c r="L27" s="121">
        <v>3680</v>
      </c>
      <c r="M27" s="121">
        <v>1330</v>
      </c>
      <c r="N27" s="121">
        <v>499</v>
      </c>
      <c r="O27" s="121">
        <v>603</v>
      </c>
    </row>
    <row r="28" spans="1:15" ht="11.25">
      <c r="A28" s="34">
        <v>1991</v>
      </c>
      <c r="B28" s="121">
        <f aca="true" t="shared" si="1" ref="B28:B36">IF(COUNT(C28:O28)=11,SUM(C28:O28),":")</f>
        <v>25738</v>
      </c>
      <c r="C28" s="121">
        <v>2640</v>
      </c>
      <c r="D28" s="122" t="s">
        <v>240</v>
      </c>
      <c r="E28" s="121">
        <v>2597</v>
      </c>
      <c r="F28" s="1">
        <v>132</v>
      </c>
      <c r="G28" s="121">
        <v>2247</v>
      </c>
      <c r="H28" s="121">
        <v>271</v>
      </c>
      <c r="I28" s="121">
        <v>122</v>
      </c>
      <c r="J28" s="122" t="s">
        <v>240</v>
      </c>
      <c r="K28" s="121">
        <v>11510</v>
      </c>
      <c r="L28" s="121">
        <v>3680</v>
      </c>
      <c r="M28" s="121">
        <v>1373</v>
      </c>
      <c r="N28" s="121">
        <v>499</v>
      </c>
      <c r="O28" s="121">
        <v>667</v>
      </c>
    </row>
    <row r="29" spans="1:15" ht="11.25">
      <c r="A29" s="34">
        <v>1992</v>
      </c>
      <c r="B29" s="121">
        <f t="shared" si="1"/>
        <v>26099</v>
      </c>
      <c r="C29" s="121">
        <v>2650</v>
      </c>
      <c r="D29" s="122" t="s">
        <v>240</v>
      </c>
      <c r="E29" s="121">
        <v>2593</v>
      </c>
      <c r="F29" s="1">
        <v>131</v>
      </c>
      <c r="G29" s="121">
        <v>2277</v>
      </c>
      <c r="H29" s="121">
        <v>271</v>
      </c>
      <c r="I29" s="121">
        <v>122</v>
      </c>
      <c r="J29" s="122" t="s">
        <v>240</v>
      </c>
      <c r="K29" s="121">
        <v>11496</v>
      </c>
      <c r="L29" s="121">
        <v>3782</v>
      </c>
      <c r="M29" s="121">
        <v>1373</v>
      </c>
      <c r="N29" s="121">
        <v>499</v>
      </c>
      <c r="O29" s="121">
        <v>905</v>
      </c>
    </row>
    <row r="30" spans="1:15" ht="11.25">
      <c r="A30" s="34">
        <v>1993</v>
      </c>
      <c r="B30" s="121">
        <f t="shared" si="1"/>
        <v>26216</v>
      </c>
      <c r="C30" s="121">
        <v>2650</v>
      </c>
      <c r="D30" s="122" t="s">
        <v>240</v>
      </c>
      <c r="E30" s="121">
        <v>2706</v>
      </c>
      <c r="F30" s="1">
        <v>131</v>
      </c>
      <c r="G30" s="121">
        <v>2277</v>
      </c>
      <c r="H30" s="121">
        <v>271</v>
      </c>
      <c r="I30" s="121">
        <v>122</v>
      </c>
      <c r="J30" s="122" t="s">
        <v>240</v>
      </c>
      <c r="K30" s="121">
        <v>11482</v>
      </c>
      <c r="L30" s="121">
        <v>3758</v>
      </c>
      <c r="M30" s="121">
        <v>1415</v>
      </c>
      <c r="N30" s="121">
        <v>499</v>
      </c>
      <c r="O30" s="121">
        <v>905</v>
      </c>
    </row>
    <row r="31" spans="1:15" ht="11.25">
      <c r="A31" s="34">
        <v>1994</v>
      </c>
      <c r="B31" s="121">
        <f t="shared" si="1"/>
        <v>26659</v>
      </c>
      <c r="C31" s="121">
        <v>2645</v>
      </c>
      <c r="D31" s="122" t="s">
        <v>240</v>
      </c>
      <c r="E31" s="121">
        <v>2706</v>
      </c>
      <c r="F31" s="1">
        <v>131</v>
      </c>
      <c r="G31" s="121">
        <v>2283</v>
      </c>
      <c r="H31" s="121">
        <v>271</v>
      </c>
      <c r="I31" s="121">
        <v>122</v>
      </c>
      <c r="J31" s="122" t="s">
        <v>240</v>
      </c>
      <c r="K31" s="121">
        <v>11613</v>
      </c>
      <c r="L31" s="121">
        <v>3866</v>
      </c>
      <c r="M31" s="121">
        <v>1430</v>
      </c>
      <c r="N31" s="121">
        <v>499</v>
      </c>
      <c r="O31" s="121">
        <v>1093</v>
      </c>
    </row>
    <row r="32" spans="1:15" ht="11.25">
      <c r="A32" s="34">
        <v>1995</v>
      </c>
      <c r="B32" s="121">
        <f t="shared" si="1"/>
        <v>26730</v>
      </c>
      <c r="C32" s="121">
        <v>2656</v>
      </c>
      <c r="D32" s="122" t="s">
        <v>240</v>
      </c>
      <c r="E32" s="121">
        <v>2640</v>
      </c>
      <c r="F32" s="1">
        <v>131</v>
      </c>
      <c r="G32" s="121">
        <v>2353</v>
      </c>
      <c r="H32" s="121">
        <v>271</v>
      </c>
      <c r="I32" s="121">
        <v>122</v>
      </c>
      <c r="J32" s="122" t="s">
        <v>240</v>
      </c>
      <c r="K32" s="121">
        <v>11627</v>
      </c>
      <c r="L32" s="121">
        <v>3866</v>
      </c>
      <c r="M32" s="121">
        <v>1472</v>
      </c>
      <c r="N32" s="121">
        <v>499</v>
      </c>
      <c r="O32" s="121">
        <v>1093</v>
      </c>
    </row>
    <row r="33" spans="1:15" ht="11.25">
      <c r="A33" s="34">
        <v>1996</v>
      </c>
      <c r="B33" s="121">
        <f t="shared" si="1"/>
        <v>27683</v>
      </c>
      <c r="C33" s="121">
        <v>2710</v>
      </c>
      <c r="D33" s="122" t="s">
        <v>240</v>
      </c>
      <c r="E33" s="121">
        <v>2743</v>
      </c>
      <c r="F33" s="1">
        <v>131</v>
      </c>
      <c r="G33" s="121">
        <v>2353</v>
      </c>
      <c r="H33" s="121">
        <v>271</v>
      </c>
      <c r="I33" s="121">
        <v>122</v>
      </c>
      <c r="J33" s="122" t="s">
        <v>240</v>
      </c>
      <c r="K33" s="121">
        <v>11626</v>
      </c>
      <c r="L33" s="121">
        <v>3888</v>
      </c>
      <c r="M33" s="121">
        <v>1516</v>
      </c>
      <c r="N33" s="121">
        <v>499</v>
      </c>
      <c r="O33" s="121">
        <v>1824</v>
      </c>
    </row>
    <row r="34" spans="1:15" ht="11.25">
      <c r="A34" s="34">
        <v>1997</v>
      </c>
      <c r="B34" s="121">
        <f t="shared" si="1"/>
        <v>27762</v>
      </c>
      <c r="C34" s="121">
        <v>2711</v>
      </c>
      <c r="D34" s="122" t="s">
        <v>240</v>
      </c>
      <c r="E34" s="121">
        <v>2859</v>
      </c>
      <c r="F34" s="1">
        <v>131</v>
      </c>
      <c r="G34" s="121">
        <v>2378</v>
      </c>
      <c r="H34" s="121">
        <v>271</v>
      </c>
      <c r="I34" s="121">
        <v>122</v>
      </c>
      <c r="J34" s="122" t="s">
        <v>240</v>
      </c>
      <c r="K34" s="121">
        <v>11626</v>
      </c>
      <c r="L34" s="121">
        <v>3943</v>
      </c>
      <c r="M34" s="121">
        <v>1516</v>
      </c>
      <c r="N34" s="121">
        <v>499</v>
      </c>
      <c r="O34" s="121">
        <v>1706</v>
      </c>
    </row>
    <row r="35" spans="1:15" ht="11.25">
      <c r="A35" s="34">
        <v>1998</v>
      </c>
      <c r="B35" s="121">
        <f t="shared" si="1"/>
        <v>27967</v>
      </c>
      <c r="C35" s="121">
        <v>2708</v>
      </c>
      <c r="D35" s="122" t="s">
        <v>240</v>
      </c>
      <c r="E35" s="121">
        <v>2859</v>
      </c>
      <c r="F35" s="1">
        <v>131</v>
      </c>
      <c r="G35" s="121">
        <v>2594</v>
      </c>
      <c r="H35" s="121">
        <v>270</v>
      </c>
      <c r="I35" s="121">
        <v>122</v>
      </c>
      <c r="J35" s="122" t="s">
        <v>240</v>
      </c>
      <c r="K35" s="121">
        <v>11614</v>
      </c>
      <c r="L35" s="121">
        <v>3929</v>
      </c>
      <c r="M35" s="121">
        <v>1535</v>
      </c>
      <c r="N35" s="121">
        <v>499</v>
      </c>
      <c r="O35" s="121">
        <v>1706</v>
      </c>
    </row>
    <row r="36" spans="1:15" ht="11.25">
      <c r="A36" s="34">
        <v>1999</v>
      </c>
      <c r="B36" s="121">
        <f t="shared" si="1"/>
        <v>28394</v>
      </c>
      <c r="C36" s="121">
        <v>2708</v>
      </c>
      <c r="D36" s="122" t="s">
        <v>240</v>
      </c>
      <c r="E36" s="121">
        <v>2843</v>
      </c>
      <c r="F36" s="1">
        <v>132</v>
      </c>
      <c r="G36" s="121">
        <v>2620</v>
      </c>
      <c r="H36" s="121">
        <v>258</v>
      </c>
      <c r="I36" s="121">
        <v>122</v>
      </c>
      <c r="J36" s="122" t="s">
        <v>240</v>
      </c>
      <c r="K36" s="121">
        <v>11967</v>
      </c>
      <c r="L36" s="121">
        <v>3942</v>
      </c>
      <c r="M36" s="121">
        <v>1535</v>
      </c>
      <c r="N36" s="121">
        <v>504</v>
      </c>
      <c r="O36" s="121">
        <v>1763</v>
      </c>
    </row>
    <row r="38" ht="11.25">
      <c r="A38" s="1" t="s">
        <v>12</v>
      </c>
    </row>
  </sheetData>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52"/>
  <sheetViews>
    <sheetView workbookViewId="0" topLeftCell="A1">
      <selection activeCell="B20" sqref="B20"/>
    </sheetView>
  </sheetViews>
  <sheetFormatPr defaultColWidth="9.25390625" defaultRowHeight="12.75"/>
  <cols>
    <col min="1" max="15" width="9.00390625" style="1" customWidth="1"/>
    <col min="16" max="16384" width="9.25390625" style="1" customWidth="1"/>
  </cols>
  <sheetData>
    <row r="1" spans="1:15" ht="11.25">
      <c r="A1" s="4" t="s">
        <v>33</v>
      </c>
      <c r="B1" s="5"/>
      <c r="C1" s="5"/>
      <c r="D1" s="5"/>
      <c r="E1" s="5"/>
      <c r="F1" s="5"/>
      <c r="G1" s="5"/>
      <c r="H1" s="5"/>
      <c r="I1" s="5"/>
      <c r="J1" s="5"/>
      <c r="K1" s="5"/>
      <c r="L1" s="5"/>
      <c r="M1" s="5"/>
      <c r="N1" s="5"/>
      <c r="O1" s="11"/>
    </row>
    <row r="2" spans="1:15" ht="11.25">
      <c r="A2" s="18" t="s">
        <v>27</v>
      </c>
      <c r="B2" s="5"/>
      <c r="C2" s="5"/>
      <c r="D2" s="5"/>
      <c r="E2" s="5"/>
      <c r="F2" s="5"/>
      <c r="G2" s="5"/>
      <c r="H2" s="5"/>
      <c r="I2" s="5"/>
      <c r="J2" s="5"/>
      <c r="K2" s="5"/>
      <c r="L2" s="5"/>
      <c r="M2" s="5"/>
      <c r="N2" s="5"/>
      <c r="O2" s="11"/>
    </row>
    <row r="3" spans="1:15" ht="11.25">
      <c r="A3" s="5"/>
      <c r="B3" s="5"/>
      <c r="C3" s="5"/>
      <c r="D3" s="5"/>
      <c r="E3" s="5"/>
      <c r="F3" s="5"/>
      <c r="G3" s="5"/>
      <c r="H3" s="5"/>
      <c r="I3" s="5"/>
      <c r="J3" s="5"/>
      <c r="K3" s="5"/>
      <c r="L3" s="5"/>
      <c r="M3" s="5"/>
      <c r="N3" s="5"/>
      <c r="O3" s="11"/>
    </row>
    <row r="4" spans="1:15" ht="11.25">
      <c r="A4" s="5"/>
      <c r="B4" s="19" t="s">
        <v>175</v>
      </c>
      <c r="C4" s="20" t="s">
        <v>0</v>
      </c>
      <c r="D4" s="20" t="s">
        <v>29</v>
      </c>
      <c r="E4" s="20" t="s">
        <v>1</v>
      </c>
      <c r="F4" s="20" t="s">
        <v>2</v>
      </c>
      <c r="G4" s="20" t="s">
        <v>3</v>
      </c>
      <c r="H4" s="20" t="s">
        <v>4</v>
      </c>
      <c r="I4" s="20" t="s">
        <v>5</v>
      </c>
      <c r="J4" s="20" t="s">
        <v>30</v>
      </c>
      <c r="K4" s="20" t="s">
        <v>6</v>
      </c>
      <c r="L4" s="20" t="s">
        <v>7</v>
      </c>
      <c r="M4" s="20" t="s">
        <v>8</v>
      </c>
      <c r="N4" s="20" t="s">
        <v>9</v>
      </c>
      <c r="O4" s="21" t="s">
        <v>31</v>
      </c>
    </row>
    <row r="5" spans="1:15" ht="11.25">
      <c r="A5" s="5">
        <v>1990</v>
      </c>
      <c r="B5" s="90">
        <f>+SUM(C5:O5)-O5-L5-C5</f>
        <v>7086</v>
      </c>
      <c r="C5" s="90">
        <f>+basedata_waterways!C5</f>
        <v>470</v>
      </c>
      <c r="D5" s="90">
        <f>+basedata_waterways!D5</f>
        <v>0</v>
      </c>
      <c r="E5" s="90">
        <v>508</v>
      </c>
      <c r="F5" s="90">
        <f>+basedata_waterways!F5</f>
        <v>320</v>
      </c>
      <c r="G5" s="90">
        <f>+basedata_waterways!G5</f>
        <v>1373</v>
      </c>
      <c r="H5" s="90">
        <f>+basedata_waterways!H5</f>
        <v>347</v>
      </c>
      <c r="I5" s="90">
        <f>+basedata_waterways!I5</f>
        <v>369</v>
      </c>
      <c r="J5" s="90">
        <f>+basedata_waterways!J5</f>
        <v>0</v>
      </c>
      <c r="K5" s="90">
        <f>+basedata_waterways!K5</f>
        <v>3997</v>
      </c>
      <c r="L5" s="90">
        <f>+basedata_waterways!L5</f>
        <v>1782</v>
      </c>
      <c r="M5" s="90">
        <v>172</v>
      </c>
      <c r="N5" s="90">
        <f>+basedata_waterways!N5</f>
        <v>0</v>
      </c>
      <c r="O5" s="90">
        <f>+basedata_waterways!O5</f>
        <v>0</v>
      </c>
    </row>
    <row r="6" spans="1:15" ht="11.25">
      <c r="A6" s="5">
        <v>1991</v>
      </c>
      <c r="B6" s="90">
        <f aca="true" t="shared" si="0" ref="B6:B16">+SUM(C6:O6)-O6-L6-C6</f>
        <v>7086</v>
      </c>
      <c r="C6" s="90">
        <f>+basedata_waterways!C6</f>
        <v>470</v>
      </c>
      <c r="D6" s="90">
        <f>+basedata_waterways!D6</f>
        <v>0</v>
      </c>
      <c r="E6" s="90">
        <v>508</v>
      </c>
      <c r="F6" s="90">
        <f>+basedata_waterways!F6</f>
        <v>320</v>
      </c>
      <c r="G6" s="90">
        <f>+basedata_waterways!G6</f>
        <v>1373</v>
      </c>
      <c r="H6" s="90">
        <f>+basedata_waterways!H6</f>
        <v>347</v>
      </c>
      <c r="I6" s="90">
        <f>+basedata_waterways!I6</f>
        <v>369</v>
      </c>
      <c r="J6" s="90">
        <f>+basedata_waterways!J6</f>
        <v>0</v>
      </c>
      <c r="K6" s="90">
        <f>+basedata_waterways!K6</f>
        <v>3997</v>
      </c>
      <c r="L6" s="90">
        <f>+basedata_waterways!L6</f>
        <v>1779</v>
      </c>
      <c r="M6" s="90">
        <v>172</v>
      </c>
      <c r="N6" s="90">
        <f>+basedata_waterways!N6</f>
        <v>0</v>
      </c>
      <c r="O6" s="90">
        <f>+basedata_waterways!O6</f>
        <v>0</v>
      </c>
    </row>
    <row r="7" spans="1:15" ht="11.25">
      <c r="A7" s="5">
        <v>1992</v>
      </c>
      <c r="B7" s="90">
        <f t="shared" si="0"/>
        <v>7086</v>
      </c>
      <c r="C7" s="90">
        <f>+basedata_waterways!C7</f>
        <v>470</v>
      </c>
      <c r="D7" s="90">
        <f>+basedata_waterways!D7</f>
        <v>0</v>
      </c>
      <c r="E7" s="90">
        <v>508</v>
      </c>
      <c r="F7" s="90">
        <f>+basedata_waterways!F7</f>
        <v>320</v>
      </c>
      <c r="G7" s="90">
        <f>+basedata_waterways!G7</f>
        <v>1373</v>
      </c>
      <c r="H7" s="90">
        <f>+basedata_waterways!H7</f>
        <v>347</v>
      </c>
      <c r="I7" s="90">
        <f>+basedata_waterways!I7</f>
        <v>369</v>
      </c>
      <c r="J7" s="90">
        <f>+basedata_waterways!J7</f>
        <v>0</v>
      </c>
      <c r="K7" s="90">
        <f>+basedata_waterways!K7</f>
        <v>3997</v>
      </c>
      <c r="L7" s="90">
        <f>+basedata_waterways!L7</f>
        <v>1779</v>
      </c>
      <c r="M7" s="90">
        <v>172</v>
      </c>
      <c r="N7" s="90">
        <f>+basedata_waterways!N7</f>
        <v>0</v>
      </c>
      <c r="O7" s="90">
        <f>+basedata_waterways!O7</f>
        <v>0</v>
      </c>
    </row>
    <row r="8" spans="1:15" ht="11.25">
      <c r="A8" s="5">
        <v>1993</v>
      </c>
      <c r="B8" s="90">
        <f t="shared" si="0"/>
        <v>6845.15</v>
      </c>
      <c r="C8" s="90">
        <f>+basedata_waterways!C8</f>
        <v>470</v>
      </c>
      <c r="D8" s="90">
        <f>+basedata_waterways!D8</f>
        <v>0</v>
      </c>
      <c r="E8" s="90">
        <f>+basedata_waterways!E8</f>
        <v>508.15</v>
      </c>
      <c r="F8" s="90">
        <f>+basedata_waterways!F8</f>
        <v>320</v>
      </c>
      <c r="G8" s="90">
        <f>+basedata_waterways!G8</f>
        <v>1373</v>
      </c>
      <c r="H8" s="90">
        <f>+basedata_waterways!H8</f>
        <v>106</v>
      </c>
      <c r="I8" s="90">
        <f>+basedata_waterways!I8</f>
        <v>369</v>
      </c>
      <c r="J8" s="90">
        <f>+basedata_waterways!J8</f>
        <v>0</v>
      </c>
      <c r="K8" s="90">
        <f>+basedata_waterways!K8</f>
        <v>3997</v>
      </c>
      <c r="L8" s="90">
        <f>+basedata_waterways!L8</f>
        <v>1779</v>
      </c>
      <c r="M8" s="90">
        <f>+basedata_waterways!M8</f>
        <v>172</v>
      </c>
      <c r="N8" s="90">
        <f>+basedata_waterways!N8</f>
        <v>0</v>
      </c>
      <c r="O8" s="90">
        <f>+basedata_waterways!O8</f>
        <v>0</v>
      </c>
    </row>
    <row r="9" spans="1:15" ht="11.25">
      <c r="A9" s="5">
        <v>1994</v>
      </c>
      <c r="B9" s="90">
        <f t="shared" si="0"/>
        <v>6828.15</v>
      </c>
      <c r="C9" s="90">
        <f>+basedata_waterways!C9</f>
        <v>470</v>
      </c>
      <c r="D9" s="90">
        <f>+basedata_waterways!D9</f>
        <v>0</v>
      </c>
      <c r="E9" s="90">
        <f>+basedata_waterways!E9</f>
        <v>508.15</v>
      </c>
      <c r="F9" s="90">
        <f>+basedata_waterways!F9</f>
        <v>320</v>
      </c>
      <c r="G9" s="90">
        <f>+basedata_waterways!G9</f>
        <v>1373</v>
      </c>
      <c r="H9" s="90">
        <f>+basedata_waterways!H9</f>
        <v>106</v>
      </c>
      <c r="I9" s="90">
        <f>+basedata_waterways!I9</f>
        <v>369</v>
      </c>
      <c r="J9" s="90">
        <f>+basedata_waterways!J9</f>
        <v>0</v>
      </c>
      <c r="K9" s="90">
        <f>+basedata_waterways!K9</f>
        <v>3980</v>
      </c>
      <c r="L9" s="90">
        <f>+basedata_waterways!L9</f>
        <v>1779</v>
      </c>
      <c r="M9" s="90">
        <f>+basedata_waterways!M9</f>
        <v>172</v>
      </c>
      <c r="N9" s="90">
        <f>+basedata_waterways!N9</f>
        <v>0</v>
      </c>
      <c r="O9" s="90">
        <f>+basedata_waterways!O9</f>
        <v>0</v>
      </c>
    </row>
    <row r="10" spans="1:15" ht="11.25">
      <c r="A10" s="5">
        <v>1995</v>
      </c>
      <c r="B10" s="90">
        <f t="shared" si="0"/>
        <v>6890.950000000001</v>
      </c>
      <c r="C10" s="90">
        <f>+basedata_waterways!C10</f>
        <v>470</v>
      </c>
      <c r="D10" s="90">
        <f>+basedata_waterways!D10</f>
        <v>0</v>
      </c>
      <c r="E10" s="90">
        <f>+basedata_waterways!E10</f>
        <v>676.95</v>
      </c>
      <c r="F10" s="90">
        <f>+basedata_waterways!F10</f>
        <v>320</v>
      </c>
      <c r="G10" s="90">
        <f>+basedata_waterways!G10</f>
        <v>1373</v>
      </c>
      <c r="H10" s="90">
        <f>+basedata_waterways!H10</f>
        <v>0</v>
      </c>
      <c r="I10" s="90">
        <f>+basedata_waterways!I10</f>
        <v>369</v>
      </c>
      <c r="J10" s="90">
        <f>+basedata_waterways!J10</f>
        <v>0</v>
      </c>
      <c r="K10" s="90">
        <f>+basedata_waterways!K10</f>
        <v>3980</v>
      </c>
      <c r="L10" s="90">
        <f>+basedata_waterways!L10</f>
        <v>1779</v>
      </c>
      <c r="M10" s="90">
        <f>+basedata_waterways!M10</f>
        <v>172</v>
      </c>
      <c r="N10" s="90">
        <f>+basedata_waterways!N10</f>
        <v>0</v>
      </c>
      <c r="O10" s="90">
        <f>+basedata_waterways!O10</f>
        <v>0</v>
      </c>
    </row>
    <row r="11" spans="1:15" ht="11.25">
      <c r="A11" s="5">
        <v>1996</v>
      </c>
      <c r="B11" s="90">
        <f t="shared" si="0"/>
        <v>6723</v>
      </c>
      <c r="C11" s="90">
        <f>+basedata_waterways!C11</f>
        <v>470</v>
      </c>
      <c r="D11" s="90">
        <f>+basedata_waterways!D11</f>
        <v>0</v>
      </c>
      <c r="E11" s="90">
        <f>+basedata_waterways!E11</f>
        <v>677</v>
      </c>
      <c r="F11" s="90">
        <f>+basedata_waterways!F11</f>
        <v>320</v>
      </c>
      <c r="G11" s="90">
        <f>+basedata_waterways!G11</f>
        <v>1373</v>
      </c>
      <c r="H11" s="90">
        <f>+basedata_waterways!H11</f>
        <v>0</v>
      </c>
      <c r="I11" s="90">
        <f>+basedata_waterways!I11</f>
        <v>369</v>
      </c>
      <c r="J11" s="90">
        <f>+basedata_waterways!J11</f>
        <v>0</v>
      </c>
      <c r="K11" s="90">
        <f>+basedata_waterways!K11</f>
        <v>3812</v>
      </c>
      <c r="L11" s="90">
        <f>+basedata_waterways!L11</f>
        <v>1779</v>
      </c>
      <c r="M11" s="90">
        <f>+basedata_waterways!M11</f>
        <v>172</v>
      </c>
      <c r="N11" s="90">
        <f>+basedata_waterways!N11</f>
        <v>0</v>
      </c>
      <c r="O11" s="90">
        <f>+basedata_waterways!O11</f>
        <v>0</v>
      </c>
    </row>
    <row r="12" spans="1:15" ht="11.25">
      <c r="A12" s="5">
        <v>1997</v>
      </c>
      <c r="B12" s="90">
        <f t="shared" si="0"/>
        <v>6723</v>
      </c>
      <c r="C12" s="90">
        <f>+basedata_waterways!C12</f>
        <v>470</v>
      </c>
      <c r="D12" s="90">
        <f>+basedata_waterways!D12</f>
        <v>0</v>
      </c>
      <c r="E12" s="90">
        <f>+basedata_waterways!E12</f>
        <v>677</v>
      </c>
      <c r="F12" s="90">
        <f>+basedata_waterways!F12</f>
        <v>320</v>
      </c>
      <c r="G12" s="90">
        <f>+basedata_waterways!G12</f>
        <v>1373</v>
      </c>
      <c r="H12" s="90">
        <f>+basedata_waterways!H12</f>
        <v>0</v>
      </c>
      <c r="I12" s="90">
        <f>+basedata_waterways!I12</f>
        <v>369</v>
      </c>
      <c r="J12" s="90">
        <f>+basedata_waterways!J12</f>
        <v>0</v>
      </c>
      <c r="K12" s="90">
        <f>+basedata_waterways!K12</f>
        <v>3812</v>
      </c>
      <c r="L12" s="90">
        <f>+basedata_waterways!L12</f>
        <v>1779</v>
      </c>
      <c r="M12" s="90">
        <f>+basedata_waterways!M12</f>
        <v>172</v>
      </c>
      <c r="N12" s="90">
        <f>+basedata_waterways!N12</f>
        <v>0</v>
      </c>
      <c r="O12" s="90">
        <f>+basedata_waterways!O12</f>
        <v>0</v>
      </c>
    </row>
    <row r="13" spans="1:15" ht="11.25">
      <c r="A13" s="5">
        <v>1998</v>
      </c>
      <c r="B13" s="90">
        <f t="shared" si="0"/>
        <v>6709.6</v>
      </c>
      <c r="C13" s="90">
        <f>+basedata_waterways!C13</f>
        <v>470</v>
      </c>
      <c r="D13" s="90">
        <f>+basedata_waterways!D13</f>
        <v>0</v>
      </c>
      <c r="E13" s="90">
        <f>+basedata_waterways!E13</f>
        <v>663.6</v>
      </c>
      <c r="F13" s="90">
        <f>+basedata_waterways!F13</f>
        <v>320</v>
      </c>
      <c r="G13" s="90">
        <f>+basedata_waterways!G13</f>
        <v>1373</v>
      </c>
      <c r="H13" s="90">
        <f>+basedata_waterways!H13</f>
        <v>0</v>
      </c>
      <c r="I13" s="90">
        <f>+basedata_waterways!I13</f>
        <v>369</v>
      </c>
      <c r="J13" s="90">
        <f>+basedata_waterways!J13</f>
        <v>0</v>
      </c>
      <c r="K13" s="90">
        <f>+basedata_waterways!K13</f>
        <v>3812</v>
      </c>
      <c r="L13" s="90">
        <f>+basedata_waterways!L13</f>
        <v>1779</v>
      </c>
      <c r="M13" s="90">
        <f>+basedata_waterways!M13</f>
        <v>172</v>
      </c>
      <c r="N13" s="90">
        <f>+basedata_waterways!N13</f>
        <v>0</v>
      </c>
      <c r="O13" s="90">
        <f>+basedata_waterways!O13</f>
        <v>0</v>
      </c>
    </row>
    <row r="14" spans="1:15" ht="11.25">
      <c r="A14" s="5">
        <v>1999</v>
      </c>
      <c r="B14" s="90">
        <f t="shared" si="0"/>
        <v>6710.6</v>
      </c>
      <c r="C14" s="90">
        <f>+basedata_waterways!C14</f>
        <v>470</v>
      </c>
      <c r="D14" s="90">
        <f>+basedata_waterways!D14</f>
        <v>0</v>
      </c>
      <c r="E14" s="90">
        <f>+basedata_waterways!E14</f>
        <v>663.6</v>
      </c>
      <c r="F14" s="90">
        <f>+basedata_waterways!F14</f>
        <v>320</v>
      </c>
      <c r="G14" s="90">
        <f>+basedata_waterways!G14</f>
        <v>1373</v>
      </c>
      <c r="H14" s="90">
        <f>+basedata_waterways!H14</f>
        <v>0</v>
      </c>
      <c r="I14" s="90">
        <f>+basedata_waterways!I14</f>
        <v>369</v>
      </c>
      <c r="J14" s="90">
        <f>+basedata_waterways!J14</f>
        <v>0</v>
      </c>
      <c r="K14" s="90">
        <f>+basedata_waterways!K14</f>
        <v>3813</v>
      </c>
      <c r="L14" s="90">
        <f>+basedata_waterways!L14</f>
        <v>1779</v>
      </c>
      <c r="M14" s="90">
        <f>+basedata_waterways!M14</f>
        <v>172</v>
      </c>
      <c r="N14" s="90">
        <f>+basedata_waterways!N14</f>
        <v>0</v>
      </c>
      <c r="O14" s="90">
        <f>+basedata_waterways!O14</f>
        <v>0</v>
      </c>
    </row>
    <row r="15" spans="1:15" ht="11.25">
      <c r="A15" s="5">
        <v>2000</v>
      </c>
      <c r="B15" s="90">
        <f t="shared" si="0"/>
        <v>6721.6</v>
      </c>
      <c r="C15" s="90">
        <f>+basedata_waterways!C15</f>
        <v>470</v>
      </c>
      <c r="D15" s="90">
        <f>+basedata_waterways!D15</f>
        <v>0</v>
      </c>
      <c r="E15" s="90">
        <f>+basedata_waterways!E15</f>
        <v>663.6</v>
      </c>
      <c r="F15" s="90">
        <f>+basedata_waterways!F15</f>
        <v>320</v>
      </c>
      <c r="G15" s="90">
        <f>+basedata_waterways!G15</f>
        <v>1373</v>
      </c>
      <c r="H15" s="90">
        <f>+basedata_waterways!H15</f>
        <v>0</v>
      </c>
      <c r="I15" s="90">
        <f>+basedata_waterways!I15</f>
        <v>380</v>
      </c>
      <c r="J15" s="90">
        <f>+basedata_waterways!J15</f>
        <v>0</v>
      </c>
      <c r="K15" s="90">
        <f>+basedata_waterways!K15</f>
        <v>3813</v>
      </c>
      <c r="L15" s="90">
        <f>+basedata_waterways!L15</f>
        <v>1779</v>
      </c>
      <c r="M15" s="90">
        <f>+basedata_waterways!M15</f>
        <v>172</v>
      </c>
      <c r="N15" s="90">
        <f>+basedata_waterways!N15</f>
        <v>0</v>
      </c>
      <c r="O15" s="90">
        <f>+basedata_waterways!O15</f>
        <v>0</v>
      </c>
    </row>
    <row r="16" spans="1:15" ht="11.25">
      <c r="A16" s="5">
        <v>2001</v>
      </c>
      <c r="B16" s="90" t="e">
        <f t="shared" si="0"/>
        <v>#N/A</v>
      </c>
      <c r="C16" s="90" t="e">
        <f>+basedata_waterways!C16</f>
        <v>#N/A</v>
      </c>
      <c r="D16" s="90">
        <f>+basedata_waterways!D16</f>
        <v>0</v>
      </c>
      <c r="E16" s="90">
        <f>+basedata_waterways!E16</f>
        <v>663.6</v>
      </c>
      <c r="F16" s="90">
        <f>+basedata_waterways!F16</f>
        <v>320</v>
      </c>
      <c r="G16" s="90" t="e">
        <f>+basedata_waterways!G16</f>
        <v>#N/A</v>
      </c>
      <c r="H16" s="90">
        <f>+basedata_waterways!H16</f>
        <v>0</v>
      </c>
      <c r="I16" s="90">
        <f>+basedata_waterways!I16</f>
        <v>435.7</v>
      </c>
      <c r="J16" s="90">
        <f>+basedata_waterways!J16</f>
        <v>0</v>
      </c>
      <c r="K16" s="90" t="e">
        <f>+basedata_waterways!K16</f>
        <v>#N/A</v>
      </c>
      <c r="L16" s="90" t="e">
        <f>+basedata_waterways!L16</f>
        <v>#N/A</v>
      </c>
      <c r="M16" s="90">
        <f>+basedata_waterways!M16</f>
        <v>172</v>
      </c>
      <c r="N16" s="90">
        <f>+basedata_waterways!N16</f>
        <v>0</v>
      </c>
      <c r="O16" s="90">
        <f>+basedata_waterways!O16</f>
        <v>0</v>
      </c>
    </row>
    <row r="17" spans="1:15" ht="11.25">
      <c r="A17" s="5"/>
      <c r="B17" s="43"/>
      <c r="C17" s="43"/>
      <c r="D17" s="43"/>
      <c r="E17" s="43"/>
      <c r="F17" s="43"/>
      <c r="G17" s="43"/>
      <c r="H17" s="43"/>
      <c r="I17" s="43"/>
      <c r="J17" s="43"/>
      <c r="K17" s="43"/>
      <c r="L17" s="43"/>
      <c r="M17" s="43"/>
      <c r="N17" s="43"/>
      <c r="O17" s="43"/>
    </row>
    <row r="18" spans="1:15" ht="11.25">
      <c r="A18" s="5" t="s">
        <v>84</v>
      </c>
      <c r="B18" s="43"/>
      <c r="C18" s="43"/>
      <c r="D18" s="43"/>
      <c r="E18" s="43"/>
      <c r="F18" s="43"/>
      <c r="G18" s="43"/>
      <c r="H18" s="43"/>
      <c r="I18" s="43"/>
      <c r="J18" s="43"/>
      <c r="K18" s="43"/>
      <c r="L18" s="43"/>
      <c r="M18" s="43"/>
      <c r="N18" s="43"/>
      <c r="O18" s="43"/>
    </row>
    <row r="19" spans="1:15" ht="11.25">
      <c r="A19" s="5"/>
      <c r="B19" s="43">
        <f>+B14-B5</f>
        <v>-375.39999999999964</v>
      </c>
      <c r="C19" s="43">
        <f aca="true" t="shared" si="1" ref="C19:O19">+C14-C5</f>
        <v>0</v>
      </c>
      <c r="D19" s="43">
        <f t="shared" si="1"/>
        <v>0</v>
      </c>
      <c r="E19" s="43">
        <f t="shared" si="1"/>
        <v>155.60000000000002</v>
      </c>
      <c r="F19" s="43">
        <f t="shared" si="1"/>
        <v>0</v>
      </c>
      <c r="G19" s="43">
        <f t="shared" si="1"/>
        <v>0</v>
      </c>
      <c r="H19" s="43">
        <f t="shared" si="1"/>
        <v>-347</v>
      </c>
      <c r="I19" s="43">
        <f t="shared" si="1"/>
        <v>0</v>
      </c>
      <c r="J19" s="43">
        <f t="shared" si="1"/>
        <v>0</v>
      </c>
      <c r="K19" s="43">
        <f t="shared" si="1"/>
        <v>-184</v>
      </c>
      <c r="L19" s="43">
        <f t="shared" si="1"/>
        <v>-3</v>
      </c>
      <c r="M19" s="43">
        <f t="shared" si="1"/>
        <v>0</v>
      </c>
      <c r="N19" s="43">
        <f t="shared" si="1"/>
        <v>0</v>
      </c>
      <c r="O19" s="43">
        <f t="shared" si="1"/>
        <v>0</v>
      </c>
    </row>
    <row r="20" spans="1:15" ht="11.25">
      <c r="A20" s="5" t="s">
        <v>275</v>
      </c>
      <c r="B20" s="145">
        <f>+B15/B5-1</f>
        <v>-0.05142534575218738</v>
      </c>
      <c r="C20" s="145">
        <f aca="true" t="shared" si="2" ref="C20:M20">+C15/C5-1</f>
        <v>0</v>
      </c>
      <c r="D20" s="145" t="e">
        <f t="shared" si="2"/>
        <v>#DIV/0!</v>
      </c>
      <c r="E20" s="145">
        <f t="shared" si="2"/>
        <v>0.3062992125984252</v>
      </c>
      <c r="F20" s="145">
        <f t="shared" si="2"/>
        <v>0</v>
      </c>
      <c r="G20" s="145">
        <f t="shared" si="2"/>
        <v>0</v>
      </c>
      <c r="H20" s="145">
        <f t="shared" si="2"/>
        <v>-1</v>
      </c>
      <c r="I20" s="145">
        <f t="shared" si="2"/>
        <v>0.02981029810298108</v>
      </c>
      <c r="J20" s="145"/>
      <c r="K20" s="145">
        <f t="shared" si="2"/>
        <v>-0.04603452589442081</v>
      </c>
      <c r="L20" s="145">
        <f t="shared" si="2"/>
        <v>-0.0016835016835017313</v>
      </c>
      <c r="M20" s="145">
        <f t="shared" si="2"/>
        <v>0</v>
      </c>
      <c r="N20" s="145"/>
      <c r="O20" s="145"/>
    </row>
    <row r="21" spans="1:15" ht="11.25">
      <c r="A21" s="5" t="s">
        <v>272</v>
      </c>
      <c r="B21" s="5"/>
      <c r="C21" s="5"/>
      <c r="D21" s="5"/>
      <c r="E21" s="5"/>
      <c r="F21" s="5"/>
      <c r="G21" s="5"/>
      <c r="H21" s="5"/>
      <c r="I21" s="5"/>
      <c r="J21" s="5"/>
      <c r="K21" s="5"/>
      <c r="L21" s="5"/>
      <c r="M21" s="5"/>
      <c r="N21" s="5"/>
      <c r="O21" s="11"/>
    </row>
    <row r="23" spans="1:15" ht="11.25">
      <c r="A23" s="4" t="s">
        <v>39</v>
      </c>
      <c r="B23" s="5"/>
      <c r="C23" s="5"/>
      <c r="D23" s="5"/>
      <c r="E23" s="5"/>
      <c r="F23" s="5"/>
      <c r="G23" s="5"/>
      <c r="H23" s="5"/>
      <c r="I23" s="5"/>
      <c r="J23" s="5"/>
      <c r="K23" s="5"/>
      <c r="L23" s="5"/>
      <c r="M23" s="5"/>
      <c r="N23" s="5"/>
      <c r="O23" s="6"/>
    </row>
    <row r="24" ht="11.25">
      <c r="A24" s="23" t="s">
        <v>35</v>
      </c>
    </row>
    <row r="26" spans="1:15" ht="11.25">
      <c r="A26" s="5"/>
      <c r="B26" s="19" t="s">
        <v>28</v>
      </c>
      <c r="C26" s="20" t="s">
        <v>0</v>
      </c>
      <c r="D26" s="20" t="s">
        <v>29</v>
      </c>
      <c r="E26" s="20" t="s">
        <v>1</v>
      </c>
      <c r="F26" s="20" t="s">
        <v>2</v>
      </c>
      <c r="G26" s="20" t="s">
        <v>3</v>
      </c>
      <c r="H26" s="20" t="s">
        <v>4</v>
      </c>
      <c r="I26" s="20" t="s">
        <v>5</v>
      </c>
      <c r="J26" s="20" t="s">
        <v>30</v>
      </c>
      <c r="K26" s="20" t="s">
        <v>6</v>
      </c>
      <c r="L26" s="20" t="s">
        <v>7</v>
      </c>
      <c r="M26" s="20" t="s">
        <v>8</v>
      </c>
      <c r="N26" s="20" t="s">
        <v>9</v>
      </c>
      <c r="O26" s="21" t="s">
        <v>31</v>
      </c>
    </row>
    <row r="27" spans="1:15" ht="11.25">
      <c r="A27" s="5">
        <v>1990</v>
      </c>
      <c r="B27" s="90">
        <f>IF(ISNUMBER(B5/surface_area!B$5*1000),B5/surface_area!B$5*1000,":")</f>
        <v>3.8040408942448716</v>
      </c>
      <c r="C27" s="90">
        <f>IF(ISNUMBER(C5/surface_area!C$5*1000),C5/surface_area!C$5*1000,":")</f>
        <v>4.234463124132836</v>
      </c>
      <c r="D27" s="90">
        <f>IF(ISNUMBER(D5/surface_area!D$5*1000),D5/surface_area!D$5*1000,":")</f>
        <v>0</v>
      </c>
      <c r="E27" s="90">
        <f>IF(ISNUMBER(E5/surface_area!E$5*1000),E5/surface_area!E$5*1000,":")</f>
        <v>6.441305505541044</v>
      </c>
      <c r="F27" s="90">
        <f>IF(ISNUMBER(F5/surface_area!F$5*1000),F5/surface_area!F$5*1000,":")</f>
        <v>7.075419550268645</v>
      </c>
      <c r="G27" s="90">
        <f>IF(ISNUMBER(G5/surface_area!G$5*1000),G5/surface_area!G$5*1000,":")</f>
        <v>14.758679995700312</v>
      </c>
      <c r="H27" s="90">
        <f>IF(ISNUMBER(H5/surface_area!H$5*1000),H5/surface_area!H$5*1000,":")</f>
        <v>5.37243183823871</v>
      </c>
      <c r="I27" s="90">
        <f>IF(ISNUMBER(I5/surface_area!I$5*1000),I5/surface_area!I$5*1000,":")</f>
        <v>5.650842266462481</v>
      </c>
      <c r="J27" s="90">
        <f>IF(ISNUMBER(J5/surface_area!J$5*1000),J5/surface_area!J$5*1000,":")</f>
        <v>0</v>
      </c>
      <c r="K27" s="90">
        <f>IF(ISNUMBER(K5/surface_area!K$5*1000),K5/surface_area!K$5*1000,":")</f>
        <v>12.78283256312263</v>
      </c>
      <c r="L27" s="90">
        <f>IF(ISNUMBER(L5/surface_area!L$5*1000),L5/surface_area!L$5*1000,":")</f>
        <v>7.475114412876325</v>
      </c>
      <c r="M27" s="90">
        <f>IF(ISNUMBER(M5/surface_area!M$5*1000),M5/surface_area!M$5*1000,":")</f>
        <v>3.507627049514642</v>
      </c>
      <c r="N27" s="90">
        <f>IF(ISNUMBER(N5/surface_area!N$5*1000),N5/surface_area!N$5*1000,":")</f>
        <v>0</v>
      </c>
      <c r="O27" s="90">
        <f>IF(ISNUMBER(O5/surface_area!O$5*1000),O5/surface_area!O$5*1000,":")</f>
        <v>0</v>
      </c>
    </row>
    <row r="28" spans="1:15" ht="11.25">
      <c r="A28" s="5">
        <v>1991</v>
      </c>
      <c r="B28" s="90">
        <f>IF(ISNUMBER(B6/surface_area!B$5*1000),B6/surface_area!B$5*1000,":")</f>
        <v>3.8040408942448716</v>
      </c>
      <c r="C28" s="90">
        <f>IF(ISNUMBER(C6/surface_area!C$5*1000),C6/surface_area!C$5*1000,":")</f>
        <v>4.234463124132836</v>
      </c>
      <c r="D28" s="90">
        <f>IF(ISNUMBER(D6/surface_area!D$5*1000),D6/surface_area!D$5*1000,":")</f>
        <v>0</v>
      </c>
      <c r="E28" s="90">
        <f>IF(ISNUMBER(E6/surface_area!E$5*1000),E6/surface_area!E$5*1000,":")</f>
        <v>6.441305505541044</v>
      </c>
      <c r="F28" s="90">
        <f>IF(ISNUMBER(F6/surface_area!F$5*1000),F6/surface_area!F$5*1000,":")</f>
        <v>7.075419550268645</v>
      </c>
      <c r="G28" s="90">
        <f>IF(ISNUMBER(G6/surface_area!G$5*1000),G6/surface_area!G$5*1000,":")</f>
        <v>14.758679995700312</v>
      </c>
      <c r="H28" s="90">
        <f>IF(ISNUMBER(H6/surface_area!H$5*1000),H6/surface_area!H$5*1000,":")</f>
        <v>5.37243183823871</v>
      </c>
      <c r="I28" s="90">
        <f>IF(ISNUMBER(I6/surface_area!I$5*1000),I6/surface_area!I$5*1000,":")</f>
        <v>5.650842266462481</v>
      </c>
      <c r="J28" s="90">
        <f>IF(ISNUMBER(J6/surface_area!J$5*1000),J6/surface_area!J$5*1000,":")</f>
        <v>0</v>
      </c>
      <c r="K28" s="90">
        <f>IF(ISNUMBER(K6/surface_area!K$5*1000),K6/surface_area!K$5*1000,":")</f>
        <v>12.78283256312263</v>
      </c>
      <c r="L28" s="90">
        <f>IF(ISNUMBER(L6/surface_area!L$5*1000),L6/surface_area!L$5*1000,":")</f>
        <v>7.46253004517788</v>
      </c>
      <c r="M28" s="90">
        <f>IF(ISNUMBER(M6/surface_area!M$5*1000),M6/surface_area!M$5*1000,":")</f>
        <v>3.507627049514642</v>
      </c>
      <c r="N28" s="90">
        <f>IF(ISNUMBER(N6/surface_area!N$5*1000),N6/surface_area!N$5*1000,":")</f>
        <v>0</v>
      </c>
      <c r="O28" s="90">
        <f>IF(ISNUMBER(O6/surface_area!O$5*1000),O6/surface_area!O$5*1000,":")</f>
        <v>0</v>
      </c>
    </row>
    <row r="29" spans="1:15" ht="11.25">
      <c r="A29" s="5">
        <v>1992</v>
      </c>
      <c r="B29" s="90">
        <f>IF(ISNUMBER(B7/surface_area!B$5*1000),B7/surface_area!B$5*1000,":")</f>
        <v>3.8040408942448716</v>
      </c>
      <c r="C29" s="90">
        <f>IF(ISNUMBER(C7/surface_area!C$5*1000),C7/surface_area!C$5*1000,":")</f>
        <v>4.234463124132836</v>
      </c>
      <c r="D29" s="90">
        <f>IF(ISNUMBER(D7/surface_area!D$5*1000),D7/surface_area!D$5*1000,":")</f>
        <v>0</v>
      </c>
      <c r="E29" s="90">
        <f>IF(ISNUMBER(E7/surface_area!E$5*1000),E7/surface_area!E$5*1000,":")</f>
        <v>6.441305505541044</v>
      </c>
      <c r="F29" s="90">
        <f>IF(ISNUMBER(F7/surface_area!F$5*1000),F7/surface_area!F$5*1000,":")</f>
        <v>7.075419550268645</v>
      </c>
      <c r="G29" s="90">
        <f>IF(ISNUMBER(G7/surface_area!G$5*1000),G7/surface_area!G$5*1000,":")</f>
        <v>14.758679995700312</v>
      </c>
      <c r="H29" s="90">
        <f>IF(ISNUMBER(H7/surface_area!H$5*1000),H7/surface_area!H$5*1000,":")</f>
        <v>5.37243183823871</v>
      </c>
      <c r="I29" s="90">
        <f>IF(ISNUMBER(I7/surface_area!I$5*1000),I7/surface_area!I$5*1000,":")</f>
        <v>5.650842266462481</v>
      </c>
      <c r="J29" s="90">
        <f>IF(ISNUMBER(J7/surface_area!J$5*1000),J7/surface_area!J$5*1000,":")</f>
        <v>0</v>
      </c>
      <c r="K29" s="90">
        <f>IF(ISNUMBER(K7/surface_area!K$5*1000),K7/surface_area!K$5*1000,":")</f>
        <v>12.78283256312263</v>
      </c>
      <c r="L29" s="90">
        <f>IF(ISNUMBER(L7/surface_area!L$5*1000),L7/surface_area!L$5*1000,":")</f>
        <v>7.46253004517788</v>
      </c>
      <c r="M29" s="90">
        <f>IF(ISNUMBER(M7/surface_area!M$5*1000),M7/surface_area!M$5*1000,":")</f>
        <v>3.507627049514642</v>
      </c>
      <c r="N29" s="90">
        <f>IF(ISNUMBER(N7/surface_area!N$5*1000),N7/surface_area!N$5*1000,":")</f>
        <v>0</v>
      </c>
      <c r="O29" s="90">
        <f>IF(ISNUMBER(O7/surface_area!O$5*1000),O7/surface_area!O$5*1000,":")</f>
        <v>0</v>
      </c>
    </row>
    <row r="30" spans="1:15" ht="11.25">
      <c r="A30" s="5">
        <v>1993</v>
      </c>
      <c r="B30" s="90">
        <f>IF(ISNUMBER(B8/surface_area!B$5*1000),B8/surface_area!B$5*1000,":")</f>
        <v>3.674743229923833</v>
      </c>
      <c r="C30" s="90">
        <f>IF(ISNUMBER(C8/surface_area!C$5*1000),C8/surface_area!C$5*1000,":")</f>
        <v>4.234463124132836</v>
      </c>
      <c r="D30" s="90">
        <f>IF(ISNUMBER(D8/surface_area!D$5*1000),D8/surface_area!D$5*1000,":")</f>
        <v>0</v>
      </c>
      <c r="E30" s="90">
        <f>IF(ISNUMBER(E8/surface_area!E$5*1000),E8/surface_area!E$5*1000,":")</f>
        <v>6.443207465828113</v>
      </c>
      <c r="F30" s="90">
        <f>IF(ISNUMBER(F8/surface_area!F$5*1000),F8/surface_area!F$5*1000,":")</f>
        <v>7.075419550268645</v>
      </c>
      <c r="G30" s="90">
        <f>IF(ISNUMBER(G8/surface_area!G$5*1000),G8/surface_area!G$5*1000,":")</f>
        <v>14.758679995700312</v>
      </c>
      <c r="H30" s="90">
        <f>IF(ISNUMBER(H8/surface_area!H$5*1000),H8/surface_area!H$5*1000,":")</f>
        <v>1.6411463252256575</v>
      </c>
      <c r="I30" s="90">
        <f>IF(ISNUMBER(I8/surface_area!I$5*1000),I8/surface_area!I$5*1000,":")</f>
        <v>5.650842266462481</v>
      </c>
      <c r="J30" s="90">
        <f>IF(ISNUMBER(J8/surface_area!J$5*1000),J8/surface_area!J$5*1000,":")</f>
        <v>0</v>
      </c>
      <c r="K30" s="90">
        <f>IF(ISNUMBER(K8/surface_area!K$5*1000),K8/surface_area!K$5*1000,":")</f>
        <v>12.78283256312263</v>
      </c>
      <c r="L30" s="90">
        <f>IF(ISNUMBER(L8/surface_area!L$5*1000),L8/surface_area!L$5*1000,":")</f>
        <v>7.46253004517788</v>
      </c>
      <c r="M30" s="90">
        <f>IF(ISNUMBER(M8/surface_area!M$5*1000),M8/surface_area!M$5*1000,":")</f>
        <v>3.507627049514642</v>
      </c>
      <c r="N30" s="90">
        <f>IF(ISNUMBER(N8/surface_area!N$5*1000),N8/surface_area!N$5*1000,":")</f>
        <v>0</v>
      </c>
      <c r="O30" s="90">
        <f>IF(ISNUMBER(O8/surface_area!O$5*1000),O8/surface_area!O$5*1000,":")</f>
        <v>0</v>
      </c>
    </row>
    <row r="31" spans="1:15" ht="11.25">
      <c r="A31" s="5">
        <v>1994</v>
      </c>
      <c r="B31" s="90">
        <f>IF(ISNUMBER(B9/surface_area!B$5*1000),B9/surface_area!B$5*1000,":")</f>
        <v>3.665616967547011</v>
      </c>
      <c r="C31" s="90">
        <f>IF(ISNUMBER(C9/surface_area!C$5*1000),C9/surface_area!C$5*1000,":")</f>
        <v>4.234463124132836</v>
      </c>
      <c r="D31" s="90">
        <f>IF(ISNUMBER(D9/surface_area!D$5*1000),D9/surface_area!D$5*1000,":")</f>
        <v>0</v>
      </c>
      <c r="E31" s="90">
        <f>IF(ISNUMBER(E9/surface_area!E$5*1000),E9/surface_area!E$5*1000,":")</f>
        <v>6.443207465828113</v>
      </c>
      <c r="F31" s="90">
        <f>IF(ISNUMBER(F9/surface_area!F$5*1000),F9/surface_area!F$5*1000,":")</f>
        <v>7.075419550268645</v>
      </c>
      <c r="G31" s="90">
        <f>IF(ISNUMBER(G9/surface_area!G$5*1000),G9/surface_area!G$5*1000,":")</f>
        <v>14.758679995700312</v>
      </c>
      <c r="H31" s="90">
        <f>IF(ISNUMBER(H9/surface_area!H$5*1000),H9/surface_area!H$5*1000,":")</f>
        <v>1.6411463252256575</v>
      </c>
      <c r="I31" s="90">
        <f>IF(ISNUMBER(I9/surface_area!I$5*1000),I9/surface_area!I$5*1000,":")</f>
        <v>5.650842266462481</v>
      </c>
      <c r="J31" s="90">
        <f>IF(ISNUMBER(J9/surface_area!J$5*1000),J9/surface_area!J$5*1000,":")</f>
        <v>0</v>
      </c>
      <c r="K31" s="90">
        <f>IF(ISNUMBER(K9/surface_area!K$5*1000),K9/surface_area!K$5*1000,":")</f>
        <v>12.72846474886867</v>
      </c>
      <c r="L31" s="90">
        <f>IF(ISNUMBER(L9/surface_area!L$5*1000),L9/surface_area!L$5*1000,":")</f>
        <v>7.46253004517788</v>
      </c>
      <c r="M31" s="90">
        <f>IF(ISNUMBER(M9/surface_area!M$5*1000),M9/surface_area!M$5*1000,":")</f>
        <v>3.507627049514642</v>
      </c>
      <c r="N31" s="90">
        <f>IF(ISNUMBER(N9/surface_area!N$5*1000),N9/surface_area!N$5*1000,":")</f>
        <v>0</v>
      </c>
      <c r="O31" s="90">
        <f>IF(ISNUMBER(O9/surface_area!O$5*1000),O9/surface_area!O$5*1000,":")</f>
        <v>0</v>
      </c>
    </row>
    <row r="32" spans="1:15" ht="11.25">
      <c r="A32" s="5">
        <v>1995</v>
      </c>
      <c r="B32" s="90">
        <f>IF(ISNUMBER(B10/surface_area!B$5*1000),B10/surface_area!B$5*1000,":")</f>
        <v>3.6993304544449193</v>
      </c>
      <c r="C32" s="90">
        <f>IF(ISNUMBER(C10/surface_area!C$5*1000),C10/surface_area!C$5*1000,":")</f>
        <v>4.234463124132836</v>
      </c>
      <c r="D32" s="90">
        <f>IF(ISNUMBER(D10/surface_area!D$5*1000),D10/surface_area!D$5*1000,":")</f>
        <v>0</v>
      </c>
      <c r="E32" s="90">
        <f>IF(ISNUMBER(E10/surface_area!E$5*1000),E10/surface_area!E$5*1000,":")</f>
        <v>8.583546775543327</v>
      </c>
      <c r="F32" s="90">
        <f>IF(ISNUMBER(F10/surface_area!F$5*1000),F10/surface_area!F$5*1000,":")</f>
        <v>7.075419550268645</v>
      </c>
      <c r="G32" s="90">
        <f>IF(ISNUMBER(G10/surface_area!G$5*1000),G10/surface_area!G$5*1000,":")</f>
        <v>14.758679995700312</v>
      </c>
      <c r="H32" s="90">
        <f>IF(ISNUMBER(H10/surface_area!H$5*1000),H10/surface_area!H$5*1000,":")</f>
        <v>0</v>
      </c>
      <c r="I32" s="90">
        <f>IF(ISNUMBER(I10/surface_area!I$5*1000),I10/surface_area!I$5*1000,":")</f>
        <v>5.650842266462481</v>
      </c>
      <c r="J32" s="90">
        <f>IF(ISNUMBER(J10/surface_area!J$5*1000),J10/surface_area!J$5*1000,":")</f>
        <v>0</v>
      </c>
      <c r="K32" s="90">
        <f>IF(ISNUMBER(K10/surface_area!K$5*1000),K10/surface_area!K$5*1000,":")</f>
        <v>12.72846474886867</v>
      </c>
      <c r="L32" s="90">
        <f>IF(ISNUMBER(L10/surface_area!L$5*1000),L10/surface_area!L$5*1000,":")</f>
        <v>7.46253004517788</v>
      </c>
      <c r="M32" s="90">
        <f>IF(ISNUMBER(M10/surface_area!M$5*1000),M10/surface_area!M$5*1000,":")</f>
        <v>3.507627049514642</v>
      </c>
      <c r="N32" s="90">
        <f>IF(ISNUMBER(N10/surface_area!N$5*1000),N10/surface_area!N$5*1000,":")</f>
        <v>0</v>
      </c>
      <c r="O32" s="90">
        <f>IF(ISNUMBER(O10/surface_area!O$5*1000),O10/surface_area!O$5*1000,":")</f>
        <v>0</v>
      </c>
    </row>
    <row r="33" spans="1:15" ht="11.25">
      <c r="A33" s="5">
        <v>1996</v>
      </c>
      <c r="B33" s="90">
        <f>IF(ISNUMBER(B11/surface_area!B$5*1000),B11/surface_area!B$5*1000,":")</f>
        <v>3.6091683505515486</v>
      </c>
      <c r="C33" s="90">
        <f>IF(ISNUMBER(C11/surface_area!C$5*1000),C11/surface_area!C$5*1000,":")</f>
        <v>4.234463124132836</v>
      </c>
      <c r="D33" s="90">
        <f>IF(ISNUMBER(D11/surface_area!D$5*1000),D11/surface_area!D$5*1000,":")</f>
        <v>0</v>
      </c>
      <c r="E33" s="90">
        <f>IF(ISNUMBER(E11/surface_area!E$5*1000),E11/surface_area!E$5*1000,":")</f>
        <v>8.584180762305682</v>
      </c>
      <c r="F33" s="90">
        <f>IF(ISNUMBER(F11/surface_area!F$5*1000),F11/surface_area!F$5*1000,":")</f>
        <v>7.075419550268645</v>
      </c>
      <c r="G33" s="90">
        <f>IF(ISNUMBER(G11/surface_area!G$5*1000),G11/surface_area!G$5*1000,":")</f>
        <v>14.758679995700312</v>
      </c>
      <c r="H33" s="90">
        <f>IF(ISNUMBER(H11/surface_area!H$5*1000),H11/surface_area!H$5*1000,":")</f>
        <v>0</v>
      </c>
      <c r="I33" s="90">
        <f>IF(ISNUMBER(I11/surface_area!I$5*1000),I11/surface_area!I$5*1000,":")</f>
        <v>5.650842266462481</v>
      </c>
      <c r="J33" s="90">
        <f>IF(ISNUMBER(J11/surface_area!J$5*1000),J11/surface_area!J$5*1000,":")</f>
        <v>0</v>
      </c>
      <c r="K33" s="90">
        <f>IF(ISNUMBER(K11/surface_area!K$5*1000),K11/surface_area!K$5*1000,":")</f>
        <v>12.191182819770695</v>
      </c>
      <c r="L33" s="90">
        <f>IF(ISNUMBER(L11/surface_area!L$5*1000),L11/surface_area!L$5*1000,":")</f>
        <v>7.46253004517788</v>
      </c>
      <c r="M33" s="90">
        <f>IF(ISNUMBER(M11/surface_area!M$5*1000),M11/surface_area!M$5*1000,":")</f>
        <v>3.507627049514642</v>
      </c>
      <c r="N33" s="90">
        <f>IF(ISNUMBER(N11/surface_area!N$5*1000),N11/surface_area!N$5*1000,":")</f>
        <v>0</v>
      </c>
      <c r="O33" s="90">
        <f>IF(ISNUMBER(O11/surface_area!O$5*1000),O11/surface_area!O$5*1000,":")</f>
        <v>0</v>
      </c>
    </row>
    <row r="34" spans="1:15" ht="11.25">
      <c r="A34" s="5">
        <v>1997</v>
      </c>
      <c r="B34" s="90">
        <f>IF(ISNUMBER(B12/surface_area!B$5*1000),B12/surface_area!B$5*1000,":")</f>
        <v>3.6091683505515486</v>
      </c>
      <c r="C34" s="90">
        <f>IF(ISNUMBER(C12/surface_area!C$5*1000),C12/surface_area!C$5*1000,":")</f>
        <v>4.234463124132836</v>
      </c>
      <c r="D34" s="90">
        <f>IF(ISNUMBER(D12/surface_area!D$5*1000),D12/surface_area!D$5*1000,":")</f>
        <v>0</v>
      </c>
      <c r="E34" s="90">
        <f>IF(ISNUMBER(E12/surface_area!E$5*1000),E12/surface_area!E$5*1000,":")</f>
        <v>8.584180762305682</v>
      </c>
      <c r="F34" s="90">
        <f>IF(ISNUMBER(F12/surface_area!F$5*1000),F12/surface_area!F$5*1000,":")</f>
        <v>7.075419550268645</v>
      </c>
      <c r="G34" s="90">
        <f>IF(ISNUMBER(G12/surface_area!G$5*1000),G12/surface_area!G$5*1000,":")</f>
        <v>14.758679995700312</v>
      </c>
      <c r="H34" s="90">
        <f>IF(ISNUMBER(H12/surface_area!H$5*1000),H12/surface_area!H$5*1000,":")</f>
        <v>0</v>
      </c>
      <c r="I34" s="90">
        <f>IF(ISNUMBER(I12/surface_area!I$5*1000),I12/surface_area!I$5*1000,":")</f>
        <v>5.650842266462481</v>
      </c>
      <c r="J34" s="90">
        <f>IF(ISNUMBER(J12/surface_area!J$5*1000),J12/surface_area!J$5*1000,":")</f>
        <v>0</v>
      </c>
      <c r="K34" s="90">
        <f>IF(ISNUMBER(K12/surface_area!K$5*1000),K12/surface_area!K$5*1000,":")</f>
        <v>12.191182819770695</v>
      </c>
      <c r="L34" s="90">
        <f>IF(ISNUMBER(L12/surface_area!L$5*1000),L12/surface_area!L$5*1000,":")</f>
        <v>7.46253004517788</v>
      </c>
      <c r="M34" s="90">
        <f>IF(ISNUMBER(M12/surface_area!M$5*1000),M12/surface_area!M$5*1000,":")</f>
        <v>3.507627049514642</v>
      </c>
      <c r="N34" s="90">
        <f>IF(ISNUMBER(N12/surface_area!N$5*1000),N12/surface_area!N$5*1000,":")</f>
        <v>0</v>
      </c>
      <c r="O34" s="90">
        <f>IF(ISNUMBER(O12/surface_area!O$5*1000),O12/surface_area!O$5*1000,":")</f>
        <v>0</v>
      </c>
    </row>
    <row r="35" spans="1:15" ht="11.25">
      <c r="A35" s="5">
        <v>1998</v>
      </c>
      <c r="B35" s="90">
        <f>IF(ISNUMBER(B13/surface_area!B$5*1000),B13/surface_area!B$5*1000,":")</f>
        <v>3.6019747084427594</v>
      </c>
      <c r="C35" s="90">
        <f>IF(ISNUMBER(C13/surface_area!C$5*1000),C13/surface_area!C$5*1000,":")</f>
        <v>4.234463124132836</v>
      </c>
      <c r="D35" s="90">
        <f>IF(ISNUMBER(D13/surface_area!D$5*1000),D13/surface_area!D$5*1000,":")</f>
        <v>0</v>
      </c>
      <c r="E35" s="90">
        <f>IF(ISNUMBER(E13/surface_area!E$5*1000),E13/surface_area!E$5*1000,":")</f>
        <v>8.414272309994168</v>
      </c>
      <c r="F35" s="90">
        <f>IF(ISNUMBER(F13/surface_area!F$5*1000),F13/surface_area!F$5*1000,":")</f>
        <v>7.075419550268645</v>
      </c>
      <c r="G35" s="90">
        <f>IF(ISNUMBER(G13/surface_area!G$5*1000),G13/surface_area!G$5*1000,":")</f>
        <v>14.758679995700312</v>
      </c>
      <c r="H35" s="90">
        <f>IF(ISNUMBER(H13/surface_area!H$5*1000),H13/surface_area!H$5*1000,":")</f>
        <v>0</v>
      </c>
      <c r="I35" s="90">
        <f>IF(ISNUMBER(I13/surface_area!I$5*1000),I13/surface_area!I$5*1000,":")</f>
        <v>5.650842266462481</v>
      </c>
      <c r="J35" s="90">
        <f>IF(ISNUMBER(J13/surface_area!J$5*1000),J13/surface_area!J$5*1000,":")</f>
        <v>0</v>
      </c>
      <c r="K35" s="90">
        <f>IF(ISNUMBER(K13/surface_area!K$5*1000),K13/surface_area!K$5*1000,":")</f>
        <v>12.191182819770695</v>
      </c>
      <c r="L35" s="90">
        <f>IF(ISNUMBER(L13/surface_area!L$5*1000),L13/surface_area!L$5*1000,":")</f>
        <v>7.46253004517788</v>
      </c>
      <c r="M35" s="90">
        <f>IF(ISNUMBER(M13/surface_area!M$5*1000),M13/surface_area!M$5*1000,":")</f>
        <v>3.507627049514642</v>
      </c>
      <c r="N35" s="90">
        <f>IF(ISNUMBER(N13/surface_area!N$5*1000),N13/surface_area!N$5*1000,":")</f>
        <v>0</v>
      </c>
      <c r="O35" s="90">
        <f>IF(ISNUMBER(O13/surface_area!O$5*1000),O13/surface_area!O$5*1000,":")</f>
        <v>0</v>
      </c>
    </row>
    <row r="36" spans="1:15" ht="11.25">
      <c r="A36" s="5">
        <v>1999</v>
      </c>
      <c r="B36" s="90">
        <f>IF(ISNUMBER(B14/surface_area!B$5*1000),B14/surface_area!B$5*1000,":")</f>
        <v>3.602511547406102</v>
      </c>
      <c r="C36" s="90">
        <f>IF(ISNUMBER(C14/surface_area!C$5*1000),C14/surface_area!C$5*1000,":")</f>
        <v>4.234463124132836</v>
      </c>
      <c r="D36" s="90">
        <f>IF(ISNUMBER(D14/surface_area!D$5*1000),D14/surface_area!D$5*1000,":")</f>
        <v>0</v>
      </c>
      <c r="E36" s="90">
        <f>IF(ISNUMBER(E14/surface_area!E$5*1000),E14/surface_area!E$5*1000,":")</f>
        <v>8.414272309994168</v>
      </c>
      <c r="F36" s="90">
        <f>IF(ISNUMBER(F14/surface_area!F$5*1000),F14/surface_area!F$5*1000,":")</f>
        <v>7.075419550268645</v>
      </c>
      <c r="G36" s="90">
        <f>IF(ISNUMBER(G14/surface_area!G$5*1000),G14/surface_area!G$5*1000,":")</f>
        <v>14.758679995700312</v>
      </c>
      <c r="H36" s="90">
        <f>IF(ISNUMBER(H14/surface_area!H$5*1000),H14/surface_area!H$5*1000,":")</f>
        <v>0</v>
      </c>
      <c r="I36" s="90">
        <f>IF(ISNUMBER(I14/surface_area!I$5*1000),I14/surface_area!I$5*1000,":")</f>
        <v>5.650842266462481</v>
      </c>
      <c r="J36" s="90">
        <f>IF(ISNUMBER(J14/surface_area!J$5*1000),J14/surface_area!J$5*1000,":")</f>
        <v>0</v>
      </c>
      <c r="K36" s="90">
        <f>IF(ISNUMBER(K14/surface_area!K$5*1000),K14/surface_area!K$5*1000,":")</f>
        <v>12.194380926491517</v>
      </c>
      <c r="L36" s="90">
        <f>IF(ISNUMBER(L14/surface_area!L$5*1000),L14/surface_area!L$5*1000,":")</f>
        <v>7.46253004517788</v>
      </c>
      <c r="M36" s="90">
        <f>IF(ISNUMBER(M14/surface_area!M$5*1000),M14/surface_area!M$5*1000,":")</f>
        <v>3.507627049514642</v>
      </c>
      <c r="N36" s="90">
        <f>IF(ISNUMBER(N14/surface_area!N$5*1000),N14/surface_area!N$5*1000,":")</f>
        <v>0</v>
      </c>
      <c r="O36" s="90">
        <f>IF(ISNUMBER(O14/surface_area!O$5*1000),O14/surface_area!O$5*1000,":")</f>
        <v>0</v>
      </c>
    </row>
    <row r="39" spans="1:15" ht="11.25">
      <c r="A39" s="4" t="s">
        <v>44</v>
      </c>
      <c r="B39" s="5"/>
      <c r="C39" s="5"/>
      <c r="D39" s="5"/>
      <c r="E39" s="5"/>
      <c r="F39" s="5"/>
      <c r="G39" s="5"/>
      <c r="H39" s="5"/>
      <c r="I39" s="5"/>
      <c r="J39" s="5"/>
      <c r="K39" s="5"/>
      <c r="L39" s="5"/>
      <c r="M39" s="5"/>
      <c r="N39" s="5"/>
      <c r="O39" s="6"/>
    </row>
    <row r="40" ht="11.25">
      <c r="A40" s="23" t="s">
        <v>42</v>
      </c>
    </row>
    <row r="42" spans="1:15" ht="11.25">
      <c r="A42" s="5"/>
      <c r="B42" s="19" t="s">
        <v>28</v>
      </c>
      <c r="C42" s="20" t="s">
        <v>0</v>
      </c>
      <c r="D42" s="20" t="s">
        <v>29</v>
      </c>
      <c r="E42" s="20" t="s">
        <v>1</v>
      </c>
      <c r="F42" s="20" t="s">
        <v>2</v>
      </c>
      <c r="G42" s="20" t="s">
        <v>3</v>
      </c>
      <c r="H42" s="20" t="s">
        <v>4</v>
      </c>
      <c r="I42" s="20" t="s">
        <v>5</v>
      </c>
      <c r="J42" s="20" t="s">
        <v>30</v>
      </c>
      <c r="K42" s="20" t="s">
        <v>6</v>
      </c>
      <c r="L42" s="20" t="s">
        <v>7</v>
      </c>
      <c r="M42" s="20" t="s">
        <v>8</v>
      </c>
      <c r="N42" s="20" t="s">
        <v>9</v>
      </c>
      <c r="O42" s="21" t="s">
        <v>31</v>
      </c>
    </row>
    <row r="43" spans="1:15" ht="11.25">
      <c r="A43" s="5">
        <v>1990</v>
      </c>
      <c r="B43" s="92">
        <f>IF(ISNUMBER(B5/'[1]manip_POP'!B6),B5/'[1]manip_POP'!B6,":")</f>
        <v>0.04342856602123253</v>
      </c>
      <c r="C43" s="92">
        <f>IF(ISNUMBER(C5/'[1]manip_POP'!C6),C5/'[1]manip_POP'!C6,":")</f>
        <v>0.05390959246642121</v>
      </c>
      <c r="D43" s="92">
        <f>IF(ISNUMBER(D5/'[1]manip_POP'!D6),D5/'[1]manip_POP'!D6,":")</f>
        <v>0</v>
      </c>
      <c r="E43" s="92">
        <f>IF(ISNUMBER(E5/'[1]manip_POP'!E6),E5/'[1]manip_POP'!E6,":")</f>
        <v>0.04902178381393338</v>
      </c>
      <c r="F43" s="92">
        <f>IF(ISNUMBER(F5/'[1]manip_POP'!F6),F5/'[1]manip_POP'!F6,":")</f>
        <v>0.20368543330893352</v>
      </c>
      <c r="G43" s="92">
        <f>IF(ISNUMBER(G5/'[1]manip_POP'!G6),G5/'[1]manip_POP'!G6,":")</f>
        <v>0.13246758258721827</v>
      </c>
      <c r="H43" s="92">
        <f>IF(ISNUMBER(H5/'[1]manip_POP'!H6),H5/'[1]manip_POP'!H6,":")</f>
        <v>0.1299299426735613</v>
      </c>
      <c r="I43" s="92">
        <f>IF(ISNUMBER(I5/'[1]manip_POP'!I6),I5/'[1]manip_POP'!I6,":")</f>
        <v>0.09913092535629374</v>
      </c>
      <c r="J43" s="92">
        <f>IF(ISNUMBER(J5/'[1]manip_POP'!J6),J5/'[1]manip_POP'!J6,":")</f>
        <v>0</v>
      </c>
      <c r="K43" s="92">
        <f>IF(ISNUMBER(K5/'[1]manip_POP'!K6),K5/'[1]manip_POP'!K6,":")</f>
        <v>0.10485584616595399</v>
      </c>
      <c r="L43" s="92">
        <f>IF(ISNUMBER(L5/'[1]manip_POP'!L6),L5/'[1]manip_POP'!L6,":")</f>
        <v>0.07678810275644296</v>
      </c>
      <c r="M43" s="92">
        <f>IF(ISNUMBER(M5/'[1]manip_POP'!M6),M5/'[1]manip_POP'!M6,":")</f>
        <v>0.032466466104443106</v>
      </c>
      <c r="N43" s="92">
        <f>IF(ISNUMBER(N5/'[1]manip_POP'!N6),N5/'[1]manip_POP'!N6,":")</f>
        <v>0</v>
      </c>
      <c r="O43" s="92">
        <f>IF(ISNUMBER(O5/'[1]manip_POP'!O6),O5/'[1]manip_POP'!O6,":")</f>
        <v>0</v>
      </c>
    </row>
    <row r="44" spans="1:15" ht="11.25">
      <c r="A44" s="5">
        <v>1991</v>
      </c>
      <c r="B44" s="92">
        <f>IF(ISNUMBER(B6/'[1]manip_POP'!B7),B6/'[1]manip_POP'!B7,":")</f>
        <v>0.04315740027665319</v>
      </c>
      <c r="C44" s="92">
        <f>IF(ISNUMBER(C6/'[1]manip_POP'!C7),C6/'[1]manip_POP'!C7,":")</f>
        <v>0.0544466712231966</v>
      </c>
      <c r="D44" s="92">
        <f>IF(ISNUMBER(D6/'[1]manip_POP'!D7),D6/'[1]manip_POP'!D7,":")</f>
        <v>0</v>
      </c>
      <c r="E44" s="92">
        <f>IF(ISNUMBER(E6/'[1]manip_POP'!E7),E6/'[1]manip_POP'!E7,":")</f>
        <v>0.0492788505843909</v>
      </c>
      <c r="F44" s="92">
        <f>IF(ISNUMBER(F6/'[1]manip_POP'!F7),F6/'[1]manip_POP'!F7,":")</f>
        <v>0.20429870002183442</v>
      </c>
      <c r="G44" s="92">
        <f>IF(ISNUMBER(G6/'[1]manip_POP'!G7),G6/'[1]manip_POP'!G7,":")</f>
        <v>0.13270829306011986</v>
      </c>
      <c r="H44" s="92">
        <f>IF(ISNUMBER(H6/'[1]manip_POP'!H7),H6/'[1]manip_POP'!H7,":")</f>
        <v>0.1303328483098421</v>
      </c>
      <c r="I44" s="92">
        <f>IF(ISNUMBER(I6/'[1]manip_POP'!I7),I6/'[1]manip_POP'!I7,":")</f>
        <v>0.09861827511558918</v>
      </c>
      <c r="J44" s="92">
        <f>IF(ISNUMBER(J6/'[1]manip_POP'!J7),J6/'[1]manip_POP'!J7,":")</f>
        <v>0</v>
      </c>
      <c r="K44" s="92">
        <f>IF(ISNUMBER(K6/'[1]manip_POP'!K7),K6/'[1]manip_POP'!K7,":")</f>
        <v>0.10451039351549223</v>
      </c>
      <c r="L44" s="92">
        <f>IF(ISNUMBER(L6/'[1]manip_POP'!L7),L6/'[1]manip_POP'!L7,":")</f>
        <v>0.07673036681687244</v>
      </c>
      <c r="M44" s="92">
        <f>IF(ISNUMBER(M6/'[1]manip_POP'!M7),M6/'[1]manip_POP'!M7,":")</f>
        <v>0.03255476961443796</v>
      </c>
      <c r="N44" s="92">
        <f>IF(ISNUMBER(N6/'[1]manip_POP'!N7),N6/'[1]manip_POP'!N7,":")</f>
        <v>0</v>
      </c>
      <c r="O44" s="92">
        <f>IF(ISNUMBER(O6/'[1]manip_POP'!O7),O6/'[1]manip_POP'!O7,":")</f>
        <v>0</v>
      </c>
    </row>
    <row r="45" spans="1:15" ht="11.25">
      <c r="A45" s="5">
        <v>1992</v>
      </c>
      <c r="B45" s="92">
        <f>IF(ISNUMBER(B7/'[1]manip_POP'!B8),B7/'[1]manip_POP'!B8,":")</f>
        <v>0.0429908977482307</v>
      </c>
      <c r="C45" s="92">
        <f>IF(ISNUMBER(C7/'[1]manip_POP'!C8),C7/'[1]manip_POP'!C8,":")</f>
        <v>0.05503448437371927</v>
      </c>
      <c r="D45" s="92">
        <f>IF(ISNUMBER(D7/'[1]manip_POP'!D8),D7/'[1]manip_POP'!D8,":")</f>
        <v>0</v>
      </c>
      <c r="E45" s="92">
        <f>IF(ISNUMBER(E7/'[1]manip_POP'!E8),E7/'[1]manip_POP'!E8,":")</f>
        <v>0.04923526869614832</v>
      </c>
      <c r="F45" s="92">
        <f>IF(ISNUMBER(F7/'[1]manip_POP'!F8),F7/'[1]manip_POP'!F8,":")</f>
        <v>0.20720369547790884</v>
      </c>
      <c r="G45" s="92">
        <f>IF(ISNUMBER(G7/'[1]manip_POP'!G8),G7/'[1]manip_POP'!G8,":")</f>
        <v>0.13299495335974504</v>
      </c>
      <c r="H45" s="92">
        <f>IF(ISNUMBER(H7/'[1]manip_POP'!H8),H7/'[1]manip_POP'!H8,":")</f>
        <v>0.13186059864711785</v>
      </c>
      <c r="I45" s="92">
        <f>IF(ISNUMBER(I7/'[1]manip_POP'!I8),I7/'[1]manip_POP'!I8,":")</f>
        <v>0.09861827511558918</v>
      </c>
      <c r="J45" s="92">
        <f>IF(ISNUMBER(J7/'[1]manip_POP'!J8),J7/'[1]manip_POP'!J8,":")</f>
        <v>0</v>
      </c>
      <c r="K45" s="92">
        <f>IF(ISNUMBER(K7/'[1]manip_POP'!K8),K7/'[1]manip_POP'!K8,":")</f>
        <v>0.10418350058647205</v>
      </c>
      <c r="L45" s="92">
        <f>IF(ISNUMBER(L7/'[1]manip_POP'!L8),L7/'[1]manip_POP'!L8,":")</f>
        <v>0.07806408442610983</v>
      </c>
      <c r="M45" s="92">
        <f>IF(ISNUMBER(M7/'[1]manip_POP'!M8),M7/'[1]manip_POP'!M8,":")</f>
        <v>0.03241284008277335</v>
      </c>
      <c r="N45" s="92">
        <f>IF(ISNUMBER(N7/'[1]manip_POP'!N8),N7/'[1]manip_POP'!N8,":")</f>
        <v>0</v>
      </c>
      <c r="O45" s="92">
        <f>IF(ISNUMBER(O7/'[1]manip_POP'!O8),O7/'[1]manip_POP'!O8,":")</f>
        <v>0</v>
      </c>
    </row>
    <row r="46" spans="1:15" ht="11.25">
      <c r="A46" s="5">
        <v>1993</v>
      </c>
      <c r="B46" s="92">
        <f>IF(ISNUMBER(B8/'[1]manip_POP'!B9),B8/'[1]manip_POP'!B9,":")</f>
        <v>0.04129429843806306</v>
      </c>
      <c r="C46" s="92">
        <f>IF(ISNUMBER(C8/'[1]manip_POP'!C9),C8/'[1]manip_POP'!C9,":")</f>
        <v>0.055474900558289963</v>
      </c>
      <c r="D46" s="92">
        <f>IF(ISNUMBER(D8/'[1]manip_POP'!D9),D8/'[1]manip_POP'!D9,":")</f>
        <v>0</v>
      </c>
      <c r="E46" s="92">
        <f>IF(ISNUMBER(E8/'[1]manip_POP'!E9),E8/'[1]manip_POP'!E9,":")</f>
        <v>0.049188784357008256</v>
      </c>
      <c r="F46" s="92">
        <f>IF(ISNUMBER(F8/'[1]manip_POP'!F9),F8/'[1]manip_POP'!F9,":")</f>
        <v>0.21098047903117764</v>
      </c>
      <c r="G46" s="92">
        <f>IF(ISNUMBER(G8/'[1]manip_POP'!G9),G8/'[1]manip_POP'!G9,":")</f>
        <v>0.1333838501593223</v>
      </c>
      <c r="H46" s="92">
        <f>IF(ISNUMBER(H8/'[1]manip_POP'!H9),H8/'[1]manip_POP'!H9,":")</f>
        <v>0.040989708103007914</v>
      </c>
      <c r="I46" s="92">
        <f>IF(ISNUMBER(I8/'[1]manip_POP'!I9),I8/'[1]manip_POP'!I9,":")</f>
        <v>0.09892098384826754</v>
      </c>
      <c r="J46" s="92">
        <f>IF(ISNUMBER(J8/'[1]manip_POP'!J9),J8/'[1]manip_POP'!J9,":")</f>
        <v>0</v>
      </c>
      <c r="K46" s="92">
        <f>IF(ISNUMBER(K8/'[1]manip_POP'!K9),K8/'[1]manip_POP'!K9,":")</f>
        <v>0.10392885930471411</v>
      </c>
      <c r="L46" s="92">
        <f>IF(ISNUMBER(L8/'[1]manip_POP'!L9),L8/'[1]manip_POP'!L9,":")</f>
        <v>0.07817972635777398</v>
      </c>
      <c r="M46" s="92">
        <f>IF(ISNUMBER(M8/'[1]manip_POP'!M9),M8/'[1]manip_POP'!M9,":")</f>
        <v>0.03230270185808146</v>
      </c>
      <c r="N46" s="92">
        <f>IF(ISNUMBER(N8/'[1]manip_POP'!N9),N8/'[1]manip_POP'!N9,":")</f>
        <v>0</v>
      </c>
      <c r="O46" s="92">
        <f>IF(ISNUMBER(O8/'[1]manip_POP'!O9),O8/'[1]manip_POP'!O9,":")</f>
        <v>0</v>
      </c>
    </row>
    <row r="47" spans="1:15" ht="11.25">
      <c r="A47" s="5">
        <v>1994</v>
      </c>
      <c r="B47" s="92">
        <f>IF(ISNUMBER(B9/'[1]manip_POP'!B10),B9/'[1]manip_POP'!B10,":")</f>
        <v>0.040945282638138465</v>
      </c>
      <c r="C47" s="92">
        <f>IF(ISNUMBER(C9/'[1]manip_POP'!C10),C9/'[1]manip_POP'!C10,":")</f>
        <v>0.0556634610829504</v>
      </c>
      <c r="D47" s="92">
        <f>IF(ISNUMBER(D9/'[1]manip_POP'!D10),D9/'[1]manip_POP'!D10,":")</f>
        <v>0</v>
      </c>
      <c r="E47" s="92">
        <f>IF(ISNUMBER(E9/'[1]manip_POP'!E10),E9/'[1]manip_POP'!E10,":")</f>
        <v>0.04916234865513911</v>
      </c>
      <c r="F47" s="92">
        <f>IF(ISNUMBER(F9/'[1]manip_POP'!F10),F9/'[1]manip_POP'!F10,":")</f>
        <v>0.21343934153963134</v>
      </c>
      <c r="G47" s="92">
        <f>IF(ISNUMBER(G9/'[1]manip_POP'!G10),G9/'[1]manip_POP'!G10,":")</f>
        <v>0.13380305710262294</v>
      </c>
      <c r="H47" s="92">
        <f>IF(ISNUMBER(H9/'[1]manip_POP'!H10),H9/'[1]manip_POP'!H10,":")</f>
        <v>0.041606179067107035</v>
      </c>
      <c r="I47" s="92">
        <f>IF(ISNUMBER(I9/'[1]manip_POP'!I10),I9/'[1]manip_POP'!I10,":")</f>
        <v>0.09917088837228052</v>
      </c>
      <c r="J47" s="92">
        <f>IF(ISNUMBER(J9/'[1]manip_POP'!J10),J9/'[1]manip_POP'!J10,":")</f>
        <v>0</v>
      </c>
      <c r="K47" s="92">
        <f>IF(ISNUMBER(K9/'[1]manip_POP'!K10),K9/'[1]manip_POP'!K10,":")</f>
        <v>0.10325861353258614</v>
      </c>
      <c r="L47" s="92">
        <f>IF(ISNUMBER(L9/'[1]manip_POP'!L10),L9/'[1]manip_POP'!L10,":")</f>
        <v>0.07826446632212704</v>
      </c>
      <c r="M47" s="92">
        <f>IF(ISNUMBER(M9/'[1]manip_POP'!M10),M9/'[1]manip_POP'!M10,":")</f>
        <v>0.03216508618279531</v>
      </c>
      <c r="N47" s="92">
        <f>IF(ISNUMBER(N9/'[1]manip_POP'!N10),N9/'[1]manip_POP'!N10,":")</f>
        <v>0</v>
      </c>
      <c r="O47" s="92">
        <f>IF(ISNUMBER(O9/'[1]manip_POP'!O10),O9/'[1]manip_POP'!O10,":")</f>
        <v>0</v>
      </c>
    </row>
    <row r="48" spans="1:15" ht="11.25">
      <c r="A48" s="5">
        <v>1995</v>
      </c>
      <c r="B48" s="92">
        <f>IF(ISNUMBER(B10/'[1]manip_POP'!B11),B10/'[1]manip_POP'!B11,":")</f>
        <v>0.041092079398309084</v>
      </c>
      <c r="C48" s="92">
        <f>IF(ISNUMBER(C10/'[1]manip_POP'!C11),C10/'[1]manip_POP'!C11,":")</f>
        <v>0.055911778351435265</v>
      </c>
      <c r="D48" s="92">
        <f>IF(ISNUMBER(D10/'[1]manip_POP'!D11),D10/'[1]manip_POP'!D11,":")</f>
        <v>0</v>
      </c>
      <c r="E48" s="92">
        <f>IF(ISNUMBER(E10/'[1]manip_POP'!E11),E10/'[1]manip_POP'!E11,":")</f>
        <v>0.06552761515393013</v>
      </c>
      <c r="F48" s="92">
        <f>IF(ISNUMBER(F10/'[1]manip_POP'!F11),F10/'[1]manip_POP'!F11,":")</f>
        <v>0.21564185123138235</v>
      </c>
      <c r="G48" s="92">
        <f>IF(ISNUMBER(G10/'[1]manip_POP'!G11),G10/'[1]manip_POP'!G11,":")</f>
        <v>0.13422621957180564</v>
      </c>
      <c r="H48" s="92">
        <f>IF(ISNUMBER(H10/'[1]manip_POP'!H11),H10/'[1]manip_POP'!H11,":")</f>
        <v>0</v>
      </c>
      <c r="I48" s="92">
        <f>IF(ISNUMBER(I10/'[1]manip_POP'!I11),I10/'[1]manip_POP'!I11,":")</f>
        <v>0.09933240012921288</v>
      </c>
      <c r="J48" s="92">
        <f>IF(ISNUMBER(J10/'[1]manip_POP'!J11),J10/'[1]manip_POP'!J11,":")</f>
        <v>0</v>
      </c>
      <c r="K48" s="92">
        <f>IF(ISNUMBER(K10/'[1]manip_POP'!K11),K10/'[1]manip_POP'!K11,":")</f>
        <v>0.10314087281020007</v>
      </c>
      <c r="L48" s="92">
        <f>IF(ISNUMBER(L10/'[1]manip_POP'!L11),L10/'[1]manip_POP'!L11,":")</f>
        <v>0.07843586452790273</v>
      </c>
      <c r="M48" s="92">
        <f>IF(ISNUMBER(M10/'[1]manip_POP'!M11),M10/'[1]manip_POP'!M11,":")</f>
        <v>0.032067559636338956</v>
      </c>
      <c r="N48" s="92">
        <f>IF(ISNUMBER(N10/'[1]manip_POP'!N11),N10/'[1]manip_POP'!N11,":")</f>
        <v>0</v>
      </c>
      <c r="O48" s="92">
        <f>IF(ISNUMBER(O10/'[1]manip_POP'!O11),O10/'[1]manip_POP'!O11,":")</f>
        <v>0</v>
      </c>
    </row>
    <row r="49" spans="1:15" ht="11.25">
      <c r="A49" s="5">
        <v>1996</v>
      </c>
      <c r="B49" s="92">
        <f>IF(ISNUMBER(B11/'[1]manip_POP'!B12),B11/'[1]manip_POP'!B12,":")</f>
        <v>0.039876476756038476</v>
      </c>
      <c r="C49" s="92">
        <f>IF(ISNUMBER(C11/'[1]manip_POP'!C12),C11/'[1]manip_POP'!C12,":")</f>
        <v>0.05620127230114316</v>
      </c>
      <c r="D49" s="92">
        <f>IF(ISNUMBER(D11/'[1]manip_POP'!D12),D11/'[1]manip_POP'!D12,":")</f>
        <v>0</v>
      </c>
      <c r="E49" s="92">
        <f>IF(ISNUMBER(E11/'[1]manip_POP'!E12),E11/'[1]manip_POP'!E12,":")</f>
        <v>0.06563032791994612</v>
      </c>
      <c r="F49" s="92">
        <f>IF(ISNUMBER(F11/'[1]manip_POP'!F12),F11/'[1]manip_POP'!F12,":")</f>
        <v>0.21780323655609524</v>
      </c>
      <c r="G49" s="92">
        <f>IF(ISNUMBER(G11/'[1]manip_POP'!G12),G11/'[1]manip_POP'!G12,":")</f>
        <v>0.13469538193007988</v>
      </c>
      <c r="H49" s="92">
        <f>IF(ISNUMBER(H11/'[1]manip_POP'!H12),H11/'[1]manip_POP'!H12,":")</f>
        <v>0</v>
      </c>
      <c r="I49" s="92">
        <f>IF(ISNUMBER(I11/'[1]manip_POP'!I12),I11/'[1]manip_POP'!I12,":")</f>
        <v>0.09947298189807388</v>
      </c>
      <c r="J49" s="92">
        <f>IF(ISNUMBER(J11/'[1]manip_POP'!J12),J11/'[1]manip_POP'!J12,":")</f>
        <v>0</v>
      </c>
      <c r="K49" s="92">
        <f>IF(ISNUMBER(K11/'[1]manip_POP'!K12),K11/'[1]manip_POP'!K12,":")</f>
        <v>0.09871044590605417</v>
      </c>
      <c r="L49" s="92">
        <f>IF(ISNUMBER(L11/'[1]manip_POP'!L12),L11/'[1]manip_POP'!L12,":")</f>
        <v>0.0786902823030465</v>
      </c>
      <c r="M49" s="92">
        <f>IF(ISNUMBER(M11/'[1]manip_POP'!M12),M11/'[1]manip_POP'!M12,":")</f>
        <v>0.03200718747447101</v>
      </c>
      <c r="N49" s="92">
        <f>IF(ISNUMBER(N11/'[1]manip_POP'!N12),N11/'[1]manip_POP'!N12,":")</f>
        <v>0</v>
      </c>
      <c r="O49" s="92">
        <f>IF(ISNUMBER(O11/'[1]manip_POP'!O12),O11/'[1]manip_POP'!O12,":")</f>
        <v>0</v>
      </c>
    </row>
    <row r="50" spans="1:15" ht="11.25">
      <c r="A50" s="5">
        <v>1997</v>
      </c>
      <c r="B50" s="92">
        <f>IF(ISNUMBER(B12/'[1]manip_POP'!B13),B12/'[1]manip_POP'!B13,":")</f>
        <v>0.03965989367060395</v>
      </c>
      <c r="C50" s="92">
        <f>IF(ISNUMBER(C12/'[1]manip_POP'!C13),C12/'[1]manip_POP'!C13,":")</f>
        <v>0.056544291986061715</v>
      </c>
      <c r="D50" s="92">
        <f>IF(ISNUMBER(D12/'[1]manip_POP'!D13),D12/'[1]manip_POP'!D13,":")</f>
        <v>0</v>
      </c>
      <c r="E50" s="92">
        <f>IF(ISNUMBER(E12/'[1]manip_POP'!E13),E12/'[1]manip_POP'!E13,":")</f>
        <v>0.06570492258950768</v>
      </c>
      <c r="F50" s="92">
        <f>IF(ISNUMBER(F12/'[1]manip_POP'!F13),F12/'[1]manip_POP'!F13,":")</f>
        <v>0.21948069495818548</v>
      </c>
      <c r="G50" s="92">
        <f>IF(ISNUMBER(G12/'[1]manip_POP'!G13),G12/'[1]manip_POP'!G13,":")</f>
        <v>0.13520566426060326</v>
      </c>
      <c r="H50" s="92">
        <f>IF(ISNUMBER(H12/'[1]manip_POP'!H13),H12/'[1]manip_POP'!H13,":")</f>
        <v>0</v>
      </c>
      <c r="I50" s="92">
        <f>IF(ISNUMBER(I12/'[1]manip_POP'!I13),I12/'[1]manip_POP'!I13,":")</f>
        <v>0.09957901554404146</v>
      </c>
      <c r="J50" s="92">
        <f>IF(ISNUMBER(J12/'[1]manip_POP'!J13),J12/'[1]manip_POP'!J13,":")</f>
        <v>0</v>
      </c>
      <c r="K50" s="92">
        <f>IF(ISNUMBER(K12/'[1]manip_POP'!K13),K12/'[1]manip_POP'!K13,":")</f>
        <v>0.09862871927554981</v>
      </c>
      <c r="L50" s="92">
        <f>IF(ISNUMBER(L12/'[1]manip_POP'!L13),L12/'[1]manip_POP'!L13,":")</f>
        <v>0.07890561154621069</v>
      </c>
      <c r="M50" s="92">
        <f>IF(ISNUMBER(M12/'[1]manip_POP'!M13),M12/'[1]manip_POP'!M13,":")</f>
        <v>0.03195105989281905</v>
      </c>
      <c r="N50" s="92">
        <f>IF(ISNUMBER(N12/'[1]manip_POP'!N13),N12/'[1]manip_POP'!N13,":")</f>
        <v>0</v>
      </c>
      <c r="O50" s="92">
        <f>IF(ISNUMBER(O12/'[1]manip_POP'!O13),O12/'[1]manip_POP'!O13,":")</f>
        <v>0</v>
      </c>
    </row>
    <row r="51" spans="1:15" ht="11.25">
      <c r="A51" s="5">
        <v>1998</v>
      </c>
      <c r="B51" s="92">
        <f>IF(ISNUMBER(B13/'[1]manip_POP'!B14),B13/'[1]manip_POP'!B14,":")</f>
        <v>0.039365742993005846</v>
      </c>
      <c r="C51" s="92">
        <f>IF(ISNUMBER(C13/'[1]manip_POP'!C14),C13/'[1]manip_POP'!C14,":")</f>
        <v>0.05692287531734503</v>
      </c>
      <c r="D51" s="92">
        <f>IF(ISNUMBER(D13/'[1]manip_POP'!D14),D13/'[1]manip_POP'!D14,":")</f>
        <v>0</v>
      </c>
      <c r="E51" s="92">
        <f>IF(ISNUMBER(E13/'[1]manip_POP'!E14),E13/'[1]manip_POP'!E14,":")</f>
        <v>0.06445883187502836</v>
      </c>
      <c r="F51" s="92">
        <f>IF(ISNUMBER(F13/'[1]manip_POP'!F14),F13/'[1]manip_POP'!F14,":")</f>
        <v>0.22073349741189974</v>
      </c>
      <c r="G51" s="92">
        <f>IF(ISNUMBER(G13/'[1]manip_POP'!G14),G13/'[1]manip_POP'!G14,":")</f>
        <v>0.1357581472068206</v>
      </c>
      <c r="H51" s="92">
        <f>IF(ISNUMBER(H13/'[1]manip_POP'!H14),H13/'[1]manip_POP'!H14,":")</f>
        <v>0</v>
      </c>
      <c r="I51" s="92">
        <f>IF(ISNUMBER(I13/'[1]manip_POP'!I14),I13/'[1]manip_POP'!I14,":")</f>
        <v>0.09966508210890233</v>
      </c>
      <c r="J51" s="92">
        <f>IF(ISNUMBER(J13/'[1]manip_POP'!J14),J13/'[1]manip_POP'!J14,":")</f>
        <v>0</v>
      </c>
      <c r="K51" s="92">
        <f>IF(ISNUMBER(K13/'[1]manip_POP'!K14),K13/'[1]manip_POP'!K14,":")</f>
        <v>0.09858790668804635</v>
      </c>
      <c r="L51" s="92">
        <f>IF(ISNUMBER(L13/'[1]manip_POP'!L14),L13/'[1]manip_POP'!L14,":")</f>
        <v>0.07905681794396903</v>
      </c>
      <c r="M51" s="92">
        <f>IF(ISNUMBER(M13/'[1]manip_POP'!M14),M13/'[1]manip_POP'!M14,":")</f>
        <v>0.03190581995545799</v>
      </c>
      <c r="N51" s="92">
        <f>IF(ISNUMBER(N13/'[1]manip_POP'!N14),N13/'[1]manip_POP'!N14,":")</f>
        <v>0</v>
      </c>
      <c r="O51" s="92">
        <f>IF(ISNUMBER(O13/'[1]manip_POP'!O14),O13/'[1]manip_POP'!O14,":")</f>
        <v>0</v>
      </c>
    </row>
    <row r="52" spans="1:15" ht="11.25">
      <c r="A52" s="5">
        <v>1999</v>
      </c>
      <c r="B52" s="92">
        <f>IF(ISNUMBER(B14/'[1]manip_POP'!B15),B14/'[1]manip_POP'!B15,":")</f>
        <v>0.03917099669105595</v>
      </c>
      <c r="C52" s="92">
        <f>IF(ISNUMBER(C14/'[1]manip_POP'!C15),C14/'[1]manip_POP'!C15,":")</f>
        <v>0.05724291218565801</v>
      </c>
      <c r="D52" s="92">
        <f>IF(ISNUMBER(D14/'[1]manip_POP'!D15),D14/'[1]manip_POP'!D15,":")</f>
        <v>0</v>
      </c>
      <c r="E52" s="92">
        <f>IF(ISNUMBER(E14/'[1]manip_POP'!E15),E14/'[1]manip_POP'!E15,":")</f>
        <v>0.06453505198592133</v>
      </c>
      <c r="F52" s="92">
        <f>IF(ISNUMBER(F14/'[1]manip_POP'!F15),F14/'[1]manip_POP'!F15,":")</f>
        <v>0.22185416000815317</v>
      </c>
      <c r="G52" s="92">
        <f>IF(ISNUMBER(G14/'[1]manip_POP'!G15),G14/'[1]manip_POP'!G15,":")</f>
        <v>0.13637935073595434</v>
      </c>
      <c r="H52" s="92">
        <f>IF(ISNUMBER(H14/'[1]manip_POP'!H15),H14/'[1]manip_POP'!H15,":")</f>
        <v>0</v>
      </c>
      <c r="I52" s="92">
        <f>IF(ISNUMBER(I14/'[1]manip_POP'!I15),I14/'[1]manip_POP'!I15,":")</f>
        <v>0.09973916451556228</v>
      </c>
      <c r="J52" s="92">
        <f>IF(ISNUMBER(J14/'[1]manip_POP'!J15),J14/'[1]manip_POP'!J15,":")</f>
        <v>0</v>
      </c>
      <c r="K52" s="92">
        <f>IF(ISNUMBER(K14/'[1]manip_POP'!K15),K14/'[1]manip_POP'!K15,":")</f>
        <v>0.09864438350494127</v>
      </c>
      <c r="L52" s="92">
        <f>IF(ISNUMBER(L14/'[1]manip_POP'!L15),L14/'[1]manip_POP'!L15,":")</f>
        <v>0.07921445619743359</v>
      </c>
      <c r="M52" s="92">
        <f>IF(ISNUMBER(M14/'[1]manip_POP'!M15),M14/'[1]manip_POP'!M15,":")</f>
        <v>0.03187945710025941</v>
      </c>
      <c r="N52" s="92">
        <f>IF(ISNUMBER(N14/'[1]manip_POP'!N15),N14/'[1]manip_POP'!N15,":")</f>
        <v>0</v>
      </c>
      <c r="O52" s="92">
        <f>IF(ISNUMBER(O14/'[1]manip_POP'!O15),O14/'[1]manip_POP'!O15,":")</f>
        <v>0</v>
      </c>
    </row>
  </sheetData>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sheetPr codeName="Sheet12"/>
  <dimension ref="A1:O30"/>
  <sheetViews>
    <sheetView workbookViewId="0" topLeftCell="A1">
      <selection activeCell="B4" sqref="B4:O4"/>
    </sheetView>
  </sheetViews>
  <sheetFormatPr defaultColWidth="9.25390625" defaultRowHeight="12.75"/>
  <cols>
    <col min="1" max="16384" width="9.25390625" style="1" customWidth="1"/>
  </cols>
  <sheetData>
    <row r="1" spans="1:15" ht="11.25">
      <c r="A1" s="4" t="s">
        <v>33</v>
      </c>
      <c r="B1" s="5"/>
      <c r="C1" s="5"/>
      <c r="D1" s="5"/>
      <c r="E1" s="5"/>
      <c r="F1" s="5"/>
      <c r="G1" s="5"/>
      <c r="H1" s="5"/>
      <c r="I1" s="5"/>
      <c r="J1" s="5"/>
      <c r="K1" s="5"/>
      <c r="L1" s="5"/>
      <c r="M1" s="5"/>
      <c r="N1" s="5"/>
      <c r="O1" s="11"/>
    </row>
    <row r="2" spans="1:15" ht="11.25">
      <c r="A2" s="18" t="s">
        <v>27</v>
      </c>
      <c r="B2" s="5"/>
      <c r="C2" s="5"/>
      <c r="D2" s="5"/>
      <c r="E2" s="5"/>
      <c r="F2" s="5"/>
      <c r="G2" s="5"/>
      <c r="H2" s="5"/>
      <c r="I2" s="5"/>
      <c r="J2" s="5"/>
      <c r="K2" s="5"/>
      <c r="L2" s="5"/>
      <c r="M2" s="5"/>
      <c r="N2" s="5"/>
      <c r="O2" s="11"/>
    </row>
    <row r="3" spans="1:15" ht="11.25">
      <c r="A3" s="5"/>
      <c r="B3" s="5"/>
      <c r="C3" s="5"/>
      <c r="D3" s="5"/>
      <c r="E3" s="5"/>
      <c r="F3" s="5"/>
      <c r="G3" s="5"/>
      <c r="H3" s="5"/>
      <c r="I3" s="5"/>
      <c r="J3" s="5"/>
      <c r="K3" s="5"/>
      <c r="L3" s="5"/>
      <c r="M3" s="5"/>
      <c r="N3" s="5"/>
      <c r="O3" s="11"/>
    </row>
    <row r="4" spans="1:15" ht="11.25">
      <c r="A4" s="5"/>
      <c r="B4" s="19" t="s">
        <v>175</v>
      </c>
      <c r="C4" s="20" t="s">
        <v>0</v>
      </c>
      <c r="D4" s="20" t="s">
        <v>29</v>
      </c>
      <c r="E4" s="20" t="s">
        <v>1</v>
      </c>
      <c r="F4" s="20" t="s">
        <v>2</v>
      </c>
      <c r="G4" s="20" t="s">
        <v>3</v>
      </c>
      <c r="H4" s="20" t="s">
        <v>4</v>
      </c>
      <c r="I4" s="20" t="s">
        <v>5</v>
      </c>
      <c r="J4" s="20" t="s">
        <v>30</v>
      </c>
      <c r="K4" s="20" t="s">
        <v>6</v>
      </c>
      <c r="L4" s="20" t="s">
        <v>7</v>
      </c>
      <c r="M4" s="20" t="s">
        <v>8</v>
      </c>
      <c r="N4" s="20" t="s">
        <v>9</v>
      </c>
      <c r="O4" s="21" t="s">
        <v>31</v>
      </c>
    </row>
    <row r="5" spans="1:15" ht="12.75">
      <c r="A5" s="5">
        <v>1990</v>
      </c>
      <c r="B5" s="90" t="e">
        <f>+SUM(C5:O5)-O5-L5-C5</f>
        <v>#N/A</v>
      </c>
      <c r="C5">
        <v>470</v>
      </c>
      <c r="D5">
        <v>0</v>
      </c>
      <c r="E5" t="s">
        <v>270</v>
      </c>
      <c r="F5">
        <v>320</v>
      </c>
      <c r="G5">
        <v>1373</v>
      </c>
      <c r="H5">
        <v>347</v>
      </c>
      <c r="I5">
        <v>369</v>
      </c>
      <c r="J5">
        <v>0</v>
      </c>
      <c r="K5">
        <v>3997</v>
      </c>
      <c r="L5">
        <v>1782</v>
      </c>
      <c r="M5" t="e">
        <f>NA()</f>
        <v>#N/A</v>
      </c>
      <c r="N5">
        <v>0</v>
      </c>
      <c r="O5">
        <v>0</v>
      </c>
    </row>
    <row r="6" spans="1:15" ht="12.75">
      <c r="A6" s="5">
        <v>1991</v>
      </c>
      <c r="B6" s="90" t="e">
        <f aca="true" t="shared" si="0" ref="B6:B16">+SUM(C6:O6)-O6-L6-C6</f>
        <v>#N/A</v>
      </c>
      <c r="C6">
        <v>470</v>
      </c>
      <c r="D6">
        <v>0</v>
      </c>
      <c r="E6" t="s">
        <v>270</v>
      </c>
      <c r="F6">
        <v>320</v>
      </c>
      <c r="G6">
        <v>1373</v>
      </c>
      <c r="H6">
        <v>347</v>
      </c>
      <c r="I6">
        <v>369</v>
      </c>
      <c r="J6">
        <v>0</v>
      </c>
      <c r="K6">
        <v>3997</v>
      </c>
      <c r="L6">
        <v>1779</v>
      </c>
      <c r="M6" t="e">
        <f>NA()</f>
        <v>#N/A</v>
      </c>
      <c r="N6">
        <v>0</v>
      </c>
      <c r="O6">
        <v>0</v>
      </c>
    </row>
    <row r="7" spans="1:15" ht="12.75">
      <c r="A7" s="5">
        <v>1992</v>
      </c>
      <c r="B7" s="90" t="e">
        <f t="shared" si="0"/>
        <v>#N/A</v>
      </c>
      <c r="C7">
        <v>470</v>
      </c>
      <c r="D7">
        <v>0</v>
      </c>
      <c r="E7" t="s">
        <v>270</v>
      </c>
      <c r="F7">
        <v>320</v>
      </c>
      <c r="G7">
        <v>1373</v>
      </c>
      <c r="H7">
        <v>347</v>
      </c>
      <c r="I7">
        <v>369</v>
      </c>
      <c r="J7">
        <v>0</v>
      </c>
      <c r="K7">
        <v>3997</v>
      </c>
      <c r="L7">
        <v>1779</v>
      </c>
      <c r="M7" t="e">
        <f>NA()</f>
        <v>#N/A</v>
      </c>
      <c r="N7">
        <v>0</v>
      </c>
      <c r="O7">
        <v>0</v>
      </c>
    </row>
    <row r="8" spans="1:15" ht="12.75">
      <c r="A8" s="5">
        <v>1993</v>
      </c>
      <c r="B8" s="90">
        <f t="shared" si="0"/>
        <v>6845.15</v>
      </c>
      <c r="C8">
        <v>470</v>
      </c>
      <c r="D8">
        <v>0</v>
      </c>
      <c r="E8">
        <v>508.15</v>
      </c>
      <c r="F8">
        <v>320</v>
      </c>
      <c r="G8">
        <v>1373</v>
      </c>
      <c r="H8">
        <v>106</v>
      </c>
      <c r="I8">
        <v>369</v>
      </c>
      <c r="J8">
        <v>0</v>
      </c>
      <c r="K8">
        <v>3997</v>
      </c>
      <c r="L8">
        <v>1779</v>
      </c>
      <c r="M8">
        <v>172</v>
      </c>
      <c r="N8">
        <v>0</v>
      </c>
      <c r="O8">
        <v>0</v>
      </c>
    </row>
    <row r="9" spans="1:15" ht="12.75">
      <c r="A9" s="5">
        <v>1994</v>
      </c>
      <c r="B9" s="90">
        <f t="shared" si="0"/>
        <v>6828.15</v>
      </c>
      <c r="C9">
        <v>470</v>
      </c>
      <c r="D9">
        <v>0</v>
      </c>
      <c r="E9">
        <v>508.15</v>
      </c>
      <c r="F9">
        <v>320</v>
      </c>
      <c r="G9">
        <v>1373</v>
      </c>
      <c r="H9">
        <v>106</v>
      </c>
      <c r="I9">
        <v>369</v>
      </c>
      <c r="J9">
        <v>0</v>
      </c>
      <c r="K9">
        <v>3980</v>
      </c>
      <c r="L9">
        <v>1779</v>
      </c>
      <c r="M9">
        <v>172</v>
      </c>
      <c r="N9">
        <v>0</v>
      </c>
      <c r="O9">
        <v>0</v>
      </c>
    </row>
    <row r="10" spans="1:15" ht="12.75">
      <c r="A10" s="5">
        <v>1995</v>
      </c>
      <c r="B10" s="90">
        <f t="shared" si="0"/>
        <v>6890.950000000001</v>
      </c>
      <c r="C10">
        <v>470</v>
      </c>
      <c r="D10">
        <v>0</v>
      </c>
      <c r="E10">
        <v>676.95</v>
      </c>
      <c r="F10">
        <v>320</v>
      </c>
      <c r="G10">
        <v>1373</v>
      </c>
      <c r="H10">
        <v>0</v>
      </c>
      <c r="I10">
        <v>369</v>
      </c>
      <c r="J10">
        <v>0</v>
      </c>
      <c r="K10">
        <v>3980</v>
      </c>
      <c r="L10">
        <v>1779</v>
      </c>
      <c r="M10">
        <v>172</v>
      </c>
      <c r="N10">
        <v>0</v>
      </c>
      <c r="O10">
        <v>0</v>
      </c>
    </row>
    <row r="11" spans="1:15" ht="12.75">
      <c r="A11" s="5">
        <v>1996</v>
      </c>
      <c r="B11" s="90">
        <f t="shared" si="0"/>
        <v>6723</v>
      </c>
      <c r="C11">
        <v>470</v>
      </c>
      <c r="D11">
        <v>0</v>
      </c>
      <c r="E11">
        <v>677</v>
      </c>
      <c r="F11">
        <v>320</v>
      </c>
      <c r="G11">
        <v>1373</v>
      </c>
      <c r="H11">
        <v>0</v>
      </c>
      <c r="I11">
        <v>369</v>
      </c>
      <c r="J11">
        <v>0</v>
      </c>
      <c r="K11">
        <v>3812</v>
      </c>
      <c r="L11">
        <v>1779</v>
      </c>
      <c r="M11">
        <v>172</v>
      </c>
      <c r="N11">
        <v>0</v>
      </c>
      <c r="O11">
        <v>0</v>
      </c>
    </row>
    <row r="12" spans="1:15" ht="12.75">
      <c r="A12" s="5">
        <v>1997</v>
      </c>
      <c r="B12" s="90">
        <f t="shared" si="0"/>
        <v>6723</v>
      </c>
      <c r="C12">
        <v>470</v>
      </c>
      <c r="D12">
        <v>0</v>
      </c>
      <c r="E12">
        <v>677</v>
      </c>
      <c r="F12">
        <v>320</v>
      </c>
      <c r="G12">
        <v>1373</v>
      </c>
      <c r="H12">
        <v>0</v>
      </c>
      <c r="I12">
        <v>369</v>
      </c>
      <c r="J12">
        <v>0</v>
      </c>
      <c r="K12">
        <v>3812</v>
      </c>
      <c r="L12">
        <v>1779</v>
      </c>
      <c r="M12">
        <v>172</v>
      </c>
      <c r="N12">
        <v>0</v>
      </c>
      <c r="O12">
        <v>0</v>
      </c>
    </row>
    <row r="13" spans="1:15" ht="12.75">
      <c r="A13" s="5">
        <v>1998</v>
      </c>
      <c r="B13" s="90">
        <f t="shared" si="0"/>
        <v>6709.6</v>
      </c>
      <c r="C13">
        <v>470</v>
      </c>
      <c r="D13">
        <v>0</v>
      </c>
      <c r="E13">
        <v>663.6</v>
      </c>
      <c r="F13">
        <v>320</v>
      </c>
      <c r="G13">
        <v>1373</v>
      </c>
      <c r="H13">
        <v>0</v>
      </c>
      <c r="I13">
        <v>369</v>
      </c>
      <c r="J13">
        <v>0</v>
      </c>
      <c r="K13">
        <v>3812</v>
      </c>
      <c r="L13">
        <v>1779</v>
      </c>
      <c r="M13">
        <v>172</v>
      </c>
      <c r="N13">
        <v>0</v>
      </c>
      <c r="O13">
        <v>0</v>
      </c>
    </row>
    <row r="14" spans="1:15" ht="12.75">
      <c r="A14" s="5">
        <v>1999</v>
      </c>
      <c r="B14" s="90">
        <f t="shared" si="0"/>
        <v>6710.6</v>
      </c>
      <c r="C14">
        <v>470</v>
      </c>
      <c r="D14">
        <v>0</v>
      </c>
      <c r="E14">
        <v>663.6</v>
      </c>
      <c r="F14">
        <v>320</v>
      </c>
      <c r="G14">
        <v>1373</v>
      </c>
      <c r="H14">
        <v>0</v>
      </c>
      <c r="I14">
        <v>369</v>
      </c>
      <c r="J14">
        <v>0</v>
      </c>
      <c r="K14">
        <v>3813</v>
      </c>
      <c r="L14">
        <v>1779</v>
      </c>
      <c r="M14">
        <v>172</v>
      </c>
      <c r="N14">
        <v>0</v>
      </c>
      <c r="O14">
        <v>0</v>
      </c>
    </row>
    <row r="15" spans="1:15" ht="12.75">
      <c r="A15" s="5">
        <v>2000</v>
      </c>
      <c r="B15" s="90">
        <f>+SUM(C15:O15)-O15-L15-C15</f>
        <v>6721.6</v>
      </c>
      <c r="C15">
        <v>470</v>
      </c>
      <c r="D15">
        <v>0</v>
      </c>
      <c r="E15">
        <v>663.6</v>
      </c>
      <c r="F15">
        <v>320</v>
      </c>
      <c r="G15">
        <v>1373</v>
      </c>
      <c r="H15">
        <v>0</v>
      </c>
      <c r="I15">
        <v>380</v>
      </c>
      <c r="J15">
        <v>0</v>
      </c>
      <c r="K15">
        <v>3813</v>
      </c>
      <c r="L15">
        <v>1779</v>
      </c>
      <c r="M15">
        <v>172</v>
      </c>
      <c r="N15">
        <v>0</v>
      </c>
      <c r="O15">
        <v>0</v>
      </c>
    </row>
    <row r="16" spans="1:15" ht="12.75">
      <c r="A16" s="5">
        <v>2001</v>
      </c>
      <c r="B16" s="90" t="e">
        <f t="shared" si="0"/>
        <v>#N/A</v>
      </c>
      <c r="C16" t="e">
        <f>NA()</f>
        <v>#N/A</v>
      </c>
      <c r="D16">
        <v>0</v>
      </c>
      <c r="E16">
        <v>663.6</v>
      </c>
      <c r="F16">
        <v>320</v>
      </c>
      <c r="G16" t="e">
        <f>NA()</f>
        <v>#N/A</v>
      </c>
      <c r="H16">
        <v>0</v>
      </c>
      <c r="I16">
        <v>435.7</v>
      </c>
      <c r="J16">
        <v>0</v>
      </c>
      <c r="K16" t="e">
        <f>NA()</f>
        <v>#N/A</v>
      </c>
      <c r="L16" t="e">
        <f>NA()</f>
        <v>#N/A</v>
      </c>
      <c r="M16">
        <v>172</v>
      </c>
      <c r="N16">
        <v>0</v>
      </c>
      <c r="O16">
        <v>0</v>
      </c>
    </row>
    <row r="18" spans="1:15" ht="12.75">
      <c r="A18" s="5" t="s">
        <v>272</v>
      </c>
      <c r="B18"/>
      <c r="C18"/>
      <c r="D18"/>
      <c r="E18"/>
      <c r="F18"/>
      <c r="G18"/>
      <c r="H18"/>
      <c r="I18"/>
      <c r="J18"/>
      <c r="K18"/>
      <c r="L18"/>
      <c r="M18"/>
      <c r="N18"/>
      <c r="O18"/>
    </row>
    <row r="19" ht="12.75">
      <c r="B19"/>
    </row>
    <row r="20" ht="12.75">
      <c r="B20"/>
    </row>
    <row r="21" ht="12.75">
      <c r="B21"/>
    </row>
    <row r="22" ht="12.75">
      <c r="B22"/>
    </row>
    <row r="23" ht="12.75">
      <c r="B23"/>
    </row>
    <row r="24" ht="12.75">
      <c r="B24"/>
    </row>
    <row r="25" ht="12.75">
      <c r="B25"/>
    </row>
    <row r="26" ht="12.75">
      <c r="B26"/>
    </row>
    <row r="27" ht="12.75">
      <c r="B27"/>
    </row>
    <row r="28" ht="12.75">
      <c r="B28"/>
    </row>
    <row r="29" ht="12.75">
      <c r="B29"/>
    </row>
    <row r="30" ht="12.75">
      <c r="B30"/>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O50"/>
  <sheetViews>
    <sheetView workbookViewId="0" topLeftCell="A1">
      <selection activeCell="F11" sqref="F11"/>
    </sheetView>
  </sheetViews>
  <sheetFormatPr defaultColWidth="9.25390625" defaultRowHeight="12.75"/>
  <cols>
    <col min="1" max="16384" width="9.25390625" style="1" customWidth="1"/>
  </cols>
  <sheetData>
    <row r="1" spans="1:15" ht="11.25">
      <c r="A1" s="12" t="s">
        <v>34</v>
      </c>
      <c r="B1" s="13"/>
      <c r="C1" s="13"/>
      <c r="D1" s="13"/>
      <c r="E1" s="13"/>
      <c r="F1" s="13"/>
      <c r="G1" s="13"/>
      <c r="H1" s="13"/>
      <c r="I1" s="13"/>
      <c r="J1" s="13"/>
      <c r="K1" s="13"/>
      <c r="L1" s="13"/>
      <c r="M1" s="13"/>
      <c r="N1" s="13"/>
      <c r="O1" s="13"/>
    </row>
    <row r="2" spans="1:15" ht="11.25">
      <c r="A2" s="16" t="s">
        <v>27</v>
      </c>
      <c r="B2" s="17"/>
      <c r="C2" s="17"/>
      <c r="D2" s="17"/>
      <c r="E2" s="17"/>
      <c r="F2" s="17"/>
      <c r="G2" s="17"/>
      <c r="H2" s="17"/>
      <c r="I2" s="17"/>
      <c r="J2" s="17"/>
      <c r="K2" s="17"/>
      <c r="L2" s="17"/>
      <c r="M2" s="17"/>
      <c r="N2" s="17"/>
      <c r="O2" s="17"/>
    </row>
    <row r="3" spans="1:15" ht="11.25">
      <c r="A3" s="17"/>
      <c r="B3" s="17"/>
      <c r="C3" s="17"/>
      <c r="D3" s="17"/>
      <c r="E3" s="17"/>
      <c r="F3" s="17"/>
      <c r="G3" s="17"/>
      <c r="H3" s="17"/>
      <c r="I3" s="17"/>
      <c r="J3" s="17"/>
      <c r="K3" s="17"/>
      <c r="L3" s="17"/>
      <c r="M3" s="17"/>
      <c r="N3" s="17"/>
      <c r="O3" s="17"/>
    </row>
    <row r="4" spans="1:15" ht="11.25">
      <c r="A4" s="146"/>
      <c r="B4" s="147" t="s">
        <v>276</v>
      </c>
      <c r="C4" s="148" t="s">
        <v>0</v>
      </c>
      <c r="D4" s="148" t="s">
        <v>29</v>
      </c>
      <c r="E4" s="150" t="s">
        <v>1</v>
      </c>
      <c r="F4" s="148" t="s">
        <v>2</v>
      </c>
      <c r="G4" s="150" t="s">
        <v>3</v>
      </c>
      <c r="H4" s="150" t="s">
        <v>4</v>
      </c>
      <c r="I4" s="150" t="s">
        <v>5</v>
      </c>
      <c r="J4" s="148" t="s">
        <v>30</v>
      </c>
      <c r="K4" s="150" t="s">
        <v>6</v>
      </c>
      <c r="L4" s="148" t="s">
        <v>7</v>
      </c>
      <c r="M4" s="148" t="s">
        <v>8</v>
      </c>
      <c r="N4" s="148" t="s">
        <v>9</v>
      </c>
      <c r="O4" s="149" t="s">
        <v>31</v>
      </c>
    </row>
    <row r="5" spans="1:15" ht="11.25">
      <c r="A5" s="146">
        <v>1990</v>
      </c>
      <c r="B5" s="90"/>
      <c r="C5" s="90">
        <f>+basedata_oilpipelines!C5</f>
        <v>578</v>
      </c>
      <c r="D5" s="90" t="str">
        <f>+basedata_oilpipelines!D5</f>
        <v>:</v>
      </c>
      <c r="E5" s="90" t="str">
        <f>+basedata_oilpipelines!E5</f>
        <v>:</v>
      </c>
      <c r="F5" s="90" t="str">
        <f>+basedata_oilpipelines!F5</f>
        <v>:</v>
      </c>
      <c r="G5" s="90">
        <f>+basedata_oilpipelines!G5</f>
        <v>1204</v>
      </c>
      <c r="H5" s="90">
        <f>+basedata_oilpipelines!H5</f>
        <v>766</v>
      </c>
      <c r="I5" s="90" t="str">
        <f>+basedata_oilpipelines!I5</f>
        <v>:</v>
      </c>
      <c r="J5" s="90" t="str">
        <f>+basedata_oilpipelines!J5</f>
        <v>:</v>
      </c>
      <c r="K5" s="90">
        <f>+basedata_oilpipelines!K5</f>
        <v>2039</v>
      </c>
      <c r="L5" s="90">
        <f>+basedata_oilpipelines!L5</f>
        <v>3694</v>
      </c>
      <c r="M5" s="90">
        <f>+basedata_oilpipelines!M5</f>
        <v>0</v>
      </c>
      <c r="N5" s="90" t="str">
        <f>+basedata_oilpipelines!N5</f>
        <v>:</v>
      </c>
      <c r="O5" s="90" t="str">
        <f>+basedata_oilpipelines!O5</f>
        <v>:</v>
      </c>
    </row>
    <row r="6" spans="1:15" ht="11.25">
      <c r="A6" s="146">
        <v>1991</v>
      </c>
      <c r="B6" s="90"/>
      <c r="C6" s="90">
        <f>+basedata_oilpipelines!C6</f>
        <v>578</v>
      </c>
      <c r="D6" s="90" t="str">
        <f>+basedata_oilpipelines!D6</f>
        <v>:</v>
      </c>
      <c r="E6" s="90" t="str">
        <f>+basedata_oilpipelines!E6</f>
        <v>:</v>
      </c>
      <c r="F6" s="90" t="str">
        <f>+basedata_oilpipelines!F6</f>
        <v>:</v>
      </c>
      <c r="G6" s="90">
        <f>+basedata_oilpipelines!G6</f>
        <v>1204</v>
      </c>
      <c r="H6" s="90">
        <f>+basedata_oilpipelines!H6</f>
        <v>766</v>
      </c>
      <c r="I6" s="90" t="str">
        <f>+basedata_oilpipelines!I6</f>
        <v>:</v>
      </c>
      <c r="J6" s="90" t="str">
        <f>+basedata_oilpipelines!J6</f>
        <v>:</v>
      </c>
      <c r="K6" s="90">
        <f>+basedata_oilpipelines!K6</f>
        <v>2040</v>
      </c>
      <c r="L6" s="90">
        <f>+basedata_oilpipelines!L6</f>
        <v>3899</v>
      </c>
      <c r="M6" s="90">
        <f>+basedata_oilpipelines!M6</f>
        <v>0</v>
      </c>
      <c r="N6" s="90" t="str">
        <f>+basedata_oilpipelines!N6</f>
        <v>:</v>
      </c>
      <c r="O6" s="90" t="str">
        <f>+basedata_oilpipelines!O6</f>
        <v>:</v>
      </c>
    </row>
    <row r="7" spans="1:15" ht="11.25">
      <c r="A7" s="146">
        <v>1992</v>
      </c>
      <c r="B7" s="90"/>
      <c r="C7" s="90">
        <f>+basedata_oilpipelines!C7</f>
        <v>578</v>
      </c>
      <c r="D7" s="90" t="str">
        <f>+basedata_oilpipelines!D7</f>
        <v>:</v>
      </c>
      <c r="E7" s="90" t="str">
        <f>+basedata_oilpipelines!E7</f>
        <v>:</v>
      </c>
      <c r="F7" s="90" t="str">
        <f>+basedata_oilpipelines!F7</f>
        <v>:</v>
      </c>
      <c r="G7" s="90">
        <f>+basedata_oilpipelines!G7</f>
        <v>907</v>
      </c>
      <c r="H7" s="90">
        <f>+basedata_oilpipelines!H7</f>
        <v>766</v>
      </c>
      <c r="I7" s="90">
        <f>+basedata_oilpipelines!I7</f>
        <v>313</v>
      </c>
      <c r="J7" s="90" t="str">
        <f>+basedata_oilpipelines!J7</f>
        <v>:</v>
      </c>
      <c r="K7" s="90">
        <f>+basedata_oilpipelines!K7</f>
        <v>2192</v>
      </c>
      <c r="L7" s="90">
        <f>+basedata_oilpipelines!L7</f>
        <v>3899</v>
      </c>
      <c r="M7" s="90">
        <f>+basedata_oilpipelines!M7</f>
        <v>0</v>
      </c>
      <c r="N7" s="90" t="str">
        <f>+basedata_oilpipelines!N7</f>
        <v>:</v>
      </c>
      <c r="O7" s="90">
        <f>+basedata_oilpipelines!O7</f>
        <v>1947</v>
      </c>
    </row>
    <row r="8" spans="1:15" ht="11.25">
      <c r="A8" s="146">
        <v>1993</v>
      </c>
      <c r="B8" s="90">
        <f>+E8+G8+H8+I8+K8</f>
        <v>4688</v>
      </c>
      <c r="C8" s="90">
        <f>+basedata_oilpipelines!C8</f>
        <v>578</v>
      </c>
      <c r="D8" s="90" t="str">
        <f>+basedata_oilpipelines!D8</f>
        <v>:</v>
      </c>
      <c r="E8" s="90">
        <f>+basedata_oilpipelines!E8</f>
        <v>581</v>
      </c>
      <c r="F8" s="90" t="str">
        <f>+basedata_oilpipelines!F8</f>
        <v>:</v>
      </c>
      <c r="G8" s="90">
        <f>+basedata_oilpipelines!G8</f>
        <v>847</v>
      </c>
      <c r="H8" s="90">
        <f>+basedata_oilpipelines!H8</f>
        <v>755</v>
      </c>
      <c r="I8" s="90">
        <f>+basedata_oilpipelines!I8</f>
        <v>313</v>
      </c>
      <c r="J8" s="90" t="str">
        <f>+basedata_oilpipelines!J8</f>
        <v>:</v>
      </c>
      <c r="K8" s="90">
        <f>+basedata_oilpipelines!K8</f>
        <v>2192</v>
      </c>
      <c r="L8" s="90">
        <f>+basedata_oilpipelines!L8</f>
        <v>3535</v>
      </c>
      <c r="M8" s="90">
        <f>+basedata_oilpipelines!M8</f>
        <v>0</v>
      </c>
      <c r="N8" s="90" t="str">
        <f>+basedata_oilpipelines!N8</f>
        <v>:</v>
      </c>
      <c r="O8" s="90">
        <f>+basedata_oilpipelines!O8</f>
        <v>1126</v>
      </c>
    </row>
    <row r="9" spans="1:15" ht="11.25">
      <c r="A9" s="146">
        <v>1994</v>
      </c>
      <c r="B9" s="90">
        <f aca="true" t="shared" si="0" ref="B9:B16">+E9+G9+H9+I9+K9</f>
        <v>4872</v>
      </c>
      <c r="C9" s="90">
        <f>+basedata_oilpipelines!C9</f>
        <v>578</v>
      </c>
      <c r="D9" s="90" t="str">
        <f>+basedata_oilpipelines!D9</f>
        <v>:</v>
      </c>
      <c r="E9" s="90">
        <f>+basedata_oilpipelines!E9</f>
        <v>581</v>
      </c>
      <c r="F9" s="90" t="str">
        <f>+basedata_oilpipelines!F9</f>
        <v>:</v>
      </c>
      <c r="G9" s="90">
        <f>+basedata_oilpipelines!G9</f>
        <v>847</v>
      </c>
      <c r="H9" s="90">
        <f>+basedata_oilpipelines!H9</f>
        <v>766</v>
      </c>
      <c r="I9" s="90">
        <f>+basedata_oilpipelines!I9</f>
        <v>400</v>
      </c>
      <c r="J9" s="90" t="str">
        <f>+basedata_oilpipelines!J9</f>
        <v>:</v>
      </c>
      <c r="K9" s="90">
        <f>+basedata_oilpipelines!K9</f>
        <v>2278</v>
      </c>
      <c r="L9" s="90">
        <f>+basedata_oilpipelines!L9</f>
        <v>3535</v>
      </c>
      <c r="M9" s="90">
        <f>+basedata_oilpipelines!M9</f>
        <v>0</v>
      </c>
      <c r="N9" s="90" t="str">
        <f>+basedata_oilpipelines!N9</f>
        <v>:</v>
      </c>
      <c r="O9" s="90">
        <f>+basedata_oilpipelines!O9</f>
        <v>1126</v>
      </c>
    </row>
    <row r="10" spans="1:15" ht="11.25">
      <c r="A10" s="146">
        <v>1995</v>
      </c>
      <c r="B10" s="90">
        <f t="shared" si="0"/>
        <v>4872</v>
      </c>
      <c r="C10" s="90">
        <f>+basedata_oilpipelines!C10</f>
        <v>578</v>
      </c>
      <c r="D10" s="90" t="str">
        <f>+basedata_oilpipelines!D10</f>
        <v>:</v>
      </c>
      <c r="E10" s="90">
        <f>+basedata_oilpipelines!E10</f>
        <v>581</v>
      </c>
      <c r="F10" s="90" t="str">
        <f>+basedata_oilpipelines!F10</f>
        <v>:</v>
      </c>
      <c r="G10" s="90">
        <f>+basedata_oilpipelines!G10</f>
        <v>847</v>
      </c>
      <c r="H10" s="90">
        <f>+basedata_oilpipelines!H10</f>
        <v>766</v>
      </c>
      <c r="I10" s="90">
        <f>+basedata_oilpipelines!I10</f>
        <v>400</v>
      </c>
      <c r="J10" s="90" t="str">
        <f>+basedata_oilpipelines!J10</f>
        <v>:</v>
      </c>
      <c r="K10" s="90">
        <f>+basedata_oilpipelines!K10</f>
        <v>2278</v>
      </c>
      <c r="L10" s="90">
        <f>+basedata_oilpipelines!L10</f>
        <v>3546</v>
      </c>
      <c r="M10" s="90">
        <f>+basedata_oilpipelines!M10</f>
        <v>0</v>
      </c>
      <c r="N10" s="90" t="str">
        <f>+basedata_oilpipelines!N10</f>
        <v>:</v>
      </c>
      <c r="O10" s="90">
        <f>+basedata_oilpipelines!O10</f>
        <v>1126</v>
      </c>
    </row>
    <row r="11" spans="1:15" ht="11.25">
      <c r="A11" s="146">
        <v>1996</v>
      </c>
      <c r="B11" s="90">
        <f t="shared" si="0"/>
        <v>5026</v>
      </c>
      <c r="C11" s="90">
        <f>+basedata_oilpipelines!C11</f>
        <v>578</v>
      </c>
      <c r="D11" s="90">
        <f>+basedata_oilpipelines!D11</f>
        <v>0</v>
      </c>
      <c r="E11" s="90">
        <f>+basedata_oilpipelines!E11</f>
        <v>736</v>
      </c>
      <c r="F11" s="90">
        <f>+basedata_oilpipelines!F11</f>
        <v>0</v>
      </c>
      <c r="G11" s="90">
        <f>+basedata_oilpipelines!G11</f>
        <v>847</v>
      </c>
      <c r="H11" s="90">
        <f>+basedata_oilpipelines!H11</f>
        <v>766</v>
      </c>
      <c r="I11" s="90">
        <f>+basedata_oilpipelines!I11</f>
        <v>399</v>
      </c>
      <c r="J11" s="90">
        <f>+basedata_oilpipelines!J11</f>
        <v>0</v>
      </c>
      <c r="K11" s="90">
        <f>+basedata_oilpipelines!K11</f>
        <v>2278</v>
      </c>
      <c r="L11" s="90">
        <f>+basedata_oilpipelines!L11</f>
        <v>3546</v>
      </c>
      <c r="M11" s="90">
        <f>+basedata_oilpipelines!M11</f>
        <v>0</v>
      </c>
      <c r="N11" s="90">
        <f>+basedata_oilpipelines!N11</f>
        <v>0</v>
      </c>
      <c r="O11" s="90">
        <f>+basedata_oilpipelines!O11</f>
        <v>2112</v>
      </c>
    </row>
    <row r="12" spans="1:15" ht="11.25">
      <c r="A12" s="146">
        <v>1997</v>
      </c>
      <c r="B12" s="90">
        <f t="shared" si="0"/>
        <v>5027</v>
      </c>
      <c r="C12" s="90">
        <f>+basedata_oilpipelines!C12</f>
        <v>578</v>
      </c>
      <c r="D12" s="90">
        <f>+basedata_oilpipelines!D12</f>
        <v>0</v>
      </c>
      <c r="E12" s="90">
        <f>+basedata_oilpipelines!E12</f>
        <v>736</v>
      </c>
      <c r="F12" s="90">
        <f>+basedata_oilpipelines!F12</f>
        <v>0</v>
      </c>
      <c r="G12" s="90">
        <f>+basedata_oilpipelines!G12</f>
        <v>848</v>
      </c>
      <c r="H12" s="90">
        <f>+basedata_oilpipelines!H12</f>
        <v>766</v>
      </c>
      <c r="I12" s="90">
        <f>+basedata_oilpipelines!I12</f>
        <v>399</v>
      </c>
      <c r="J12" s="90">
        <f>+basedata_oilpipelines!J12</f>
        <v>0</v>
      </c>
      <c r="K12" s="90">
        <f>+basedata_oilpipelines!K12</f>
        <v>2278</v>
      </c>
      <c r="L12" s="90">
        <f>+basedata_oilpipelines!L12</f>
        <v>4629</v>
      </c>
      <c r="M12" s="90">
        <f>+basedata_oilpipelines!M12</f>
        <v>0</v>
      </c>
      <c r="N12" s="90">
        <f>+basedata_oilpipelines!N12</f>
        <v>0</v>
      </c>
      <c r="O12" s="90">
        <f>+basedata_oilpipelines!O12</f>
        <v>2112</v>
      </c>
    </row>
    <row r="13" spans="1:15" ht="11.25">
      <c r="A13" s="146">
        <v>1998</v>
      </c>
      <c r="B13" s="90">
        <f t="shared" si="0"/>
        <v>5027</v>
      </c>
      <c r="C13" s="90">
        <f>+basedata_oilpipelines!C13</f>
        <v>578</v>
      </c>
      <c r="D13" s="90">
        <f>+basedata_oilpipelines!D13</f>
        <v>0</v>
      </c>
      <c r="E13" s="90">
        <f>+basedata_oilpipelines!E13</f>
        <v>736</v>
      </c>
      <c r="F13" s="90">
        <f>+basedata_oilpipelines!F13</f>
        <v>0</v>
      </c>
      <c r="G13" s="90">
        <f>+basedata_oilpipelines!G13</f>
        <v>848</v>
      </c>
      <c r="H13" s="90">
        <f>+basedata_oilpipelines!H13</f>
        <v>766</v>
      </c>
      <c r="I13" s="90">
        <f>+basedata_oilpipelines!I13</f>
        <v>399</v>
      </c>
      <c r="J13" s="90">
        <f>+basedata_oilpipelines!J13</f>
        <v>0</v>
      </c>
      <c r="K13" s="90">
        <f>+basedata_oilpipelines!K13</f>
        <v>2278</v>
      </c>
      <c r="L13" s="90">
        <f>+basedata_oilpipelines!L13</f>
        <v>4629</v>
      </c>
      <c r="M13" s="90">
        <f>+basedata_oilpipelines!M13</f>
        <v>0</v>
      </c>
      <c r="N13" s="90">
        <f>+basedata_oilpipelines!N13</f>
        <v>0</v>
      </c>
      <c r="O13" s="90">
        <f>+basedata_oilpipelines!O13</f>
        <v>2112</v>
      </c>
    </row>
    <row r="14" spans="1:15" ht="11.25">
      <c r="A14" s="146">
        <v>1999</v>
      </c>
      <c r="B14" s="90">
        <f t="shared" si="0"/>
        <v>5128</v>
      </c>
      <c r="C14" s="90">
        <f>+basedata_oilpipelines!C14</f>
        <v>578</v>
      </c>
      <c r="D14" s="90">
        <f>+basedata_oilpipelines!D14</f>
        <v>0</v>
      </c>
      <c r="E14" s="90">
        <f>+basedata_oilpipelines!E14</f>
        <v>736</v>
      </c>
      <c r="F14" s="90">
        <f>+basedata_oilpipelines!F14</f>
        <v>0</v>
      </c>
      <c r="G14" s="90">
        <f>+basedata_oilpipelines!G14</f>
        <v>848</v>
      </c>
      <c r="H14" s="90">
        <f>+basedata_oilpipelines!H14</f>
        <v>766</v>
      </c>
      <c r="I14" s="90">
        <f>+basedata_oilpipelines!I14</f>
        <v>500</v>
      </c>
      <c r="J14" s="90">
        <f>+basedata_oilpipelines!J14</f>
        <v>0</v>
      </c>
      <c r="K14" s="90">
        <f>+basedata_oilpipelines!K14</f>
        <v>2278</v>
      </c>
      <c r="L14" s="90">
        <f>+basedata_oilpipelines!L14</f>
        <v>4423</v>
      </c>
      <c r="M14" s="90">
        <f>+basedata_oilpipelines!M14</f>
        <v>0</v>
      </c>
      <c r="N14" s="90">
        <f>+basedata_oilpipelines!N14</f>
        <v>0</v>
      </c>
      <c r="O14" s="90">
        <f>+basedata_oilpipelines!O14</f>
        <v>2112</v>
      </c>
    </row>
    <row r="15" spans="1:15" ht="11.25">
      <c r="A15" s="146">
        <v>2000</v>
      </c>
      <c r="B15" s="90">
        <f t="shared" si="0"/>
        <v>5128</v>
      </c>
      <c r="C15" s="90">
        <f>+basedata_oilpipelines!C15</f>
        <v>578</v>
      </c>
      <c r="D15" s="90">
        <f>+basedata_oilpipelines!D15</f>
        <v>0</v>
      </c>
      <c r="E15" s="90">
        <f>+basedata_oilpipelines!E15</f>
        <v>736</v>
      </c>
      <c r="F15" s="90">
        <f>+basedata_oilpipelines!F15</f>
        <v>0</v>
      </c>
      <c r="G15" s="90">
        <f>+basedata_oilpipelines!G15</f>
        <v>848</v>
      </c>
      <c r="H15" s="90">
        <f>+basedata_oilpipelines!H15</f>
        <v>766</v>
      </c>
      <c r="I15" s="90">
        <f>+basedata_oilpipelines!I15</f>
        <v>500</v>
      </c>
      <c r="J15" s="90">
        <f>+basedata_oilpipelines!J15</f>
        <v>0</v>
      </c>
      <c r="K15" s="90">
        <f>+basedata_oilpipelines!K15</f>
        <v>2278</v>
      </c>
      <c r="L15" s="90">
        <f>+basedata_oilpipelines!L15</f>
        <v>4423</v>
      </c>
      <c r="M15" s="90">
        <f>+basedata_oilpipelines!M15</f>
        <v>0</v>
      </c>
      <c r="N15" s="90">
        <f>+basedata_oilpipelines!N15</f>
        <v>0</v>
      </c>
      <c r="O15" s="90">
        <f>+basedata_oilpipelines!O15</f>
        <v>2112</v>
      </c>
    </row>
    <row r="16" spans="1:15" ht="11.25">
      <c r="A16" s="146">
        <v>2001</v>
      </c>
      <c r="B16" s="90" t="e">
        <f t="shared" si="0"/>
        <v>#VALUE!</v>
      </c>
      <c r="C16" s="90" t="str">
        <f>+basedata_oilpipelines!C16</f>
        <v>:</v>
      </c>
      <c r="D16" s="90" t="str">
        <f>+basedata_oilpipelines!D16</f>
        <v>:</v>
      </c>
      <c r="E16" s="90">
        <f>+basedata_oilpipelines!E16</f>
        <v>736</v>
      </c>
      <c r="F16" s="90" t="str">
        <f>+basedata_oilpipelines!F16</f>
        <v>:</v>
      </c>
      <c r="G16" s="90" t="str">
        <f>+basedata_oilpipelines!G16</f>
        <v>:</v>
      </c>
      <c r="H16" s="90">
        <f>+basedata_oilpipelines!H16</f>
        <v>766</v>
      </c>
      <c r="I16" s="90">
        <f>+basedata_oilpipelines!I16</f>
        <v>500</v>
      </c>
      <c r="J16" s="90" t="str">
        <f>+basedata_oilpipelines!J16</f>
        <v>:</v>
      </c>
      <c r="K16" s="90" t="str">
        <f>+basedata_oilpipelines!K16</f>
        <v>:</v>
      </c>
      <c r="L16" s="90" t="str">
        <f>+basedata_oilpipelines!L16</f>
        <v>:</v>
      </c>
      <c r="M16" s="90" t="str">
        <f>+basedata_oilpipelines!M16</f>
        <v>:</v>
      </c>
      <c r="N16" s="90" t="str">
        <f>+basedata_oilpipelines!N16</f>
        <v>:</v>
      </c>
      <c r="O16" s="90" t="str">
        <f>+basedata_oilpipelines!O16</f>
        <v>:</v>
      </c>
    </row>
    <row r="17" spans="1:15" ht="11.25">
      <c r="A17" s="5" t="s">
        <v>84</v>
      </c>
      <c r="B17" s="25"/>
      <c r="C17" s="25"/>
      <c r="E17" s="25"/>
      <c r="F17" s="25"/>
      <c r="G17" s="25"/>
      <c r="H17" s="25"/>
      <c r="I17" s="25"/>
      <c r="J17" s="25"/>
      <c r="K17" s="25"/>
      <c r="L17" s="25"/>
      <c r="M17" s="25"/>
      <c r="N17" s="25"/>
      <c r="O17" s="25"/>
    </row>
    <row r="18" spans="1:15" ht="11.25">
      <c r="A18" s="5"/>
      <c r="B18" s="8"/>
      <c r="C18" s="28">
        <f>+C14-C5</f>
        <v>0</v>
      </c>
      <c r="D18" s="8"/>
      <c r="E18" s="28">
        <f>+E14-E8</f>
        <v>155</v>
      </c>
      <c r="F18" s="28"/>
      <c r="G18" s="28">
        <f>+G14-G5</f>
        <v>-356</v>
      </c>
      <c r="H18" s="28">
        <f>+H14-H5</f>
        <v>0</v>
      </c>
      <c r="I18" s="28">
        <f>+I14-I7</f>
        <v>187</v>
      </c>
      <c r="J18" s="28"/>
      <c r="K18" s="28">
        <f>+K14-K5</f>
        <v>239</v>
      </c>
      <c r="L18" s="28">
        <f>+L14-L5</f>
        <v>729</v>
      </c>
      <c r="M18" s="28"/>
      <c r="N18" s="28"/>
      <c r="O18" s="28">
        <f>+O13-O7</f>
        <v>165</v>
      </c>
    </row>
    <row r="19" spans="1:15" ht="11.25">
      <c r="A19" s="5" t="s">
        <v>20</v>
      </c>
      <c r="B19" s="5"/>
      <c r="C19" s="5"/>
      <c r="D19" s="5"/>
      <c r="E19" s="5"/>
      <c r="F19" s="5"/>
      <c r="G19" s="5"/>
      <c r="H19" s="5"/>
      <c r="I19" s="5"/>
      <c r="J19" s="5"/>
      <c r="K19" s="5"/>
      <c r="L19" s="5"/>
      <c r="M19" s="5"/>
      <c r="N19" s="5"/>
      <c r="O19" s="13"/>
    </row>
    <row r="21" spans="1:15" ht="11.25">
      <c r="A21" s="4" t="s">
        <v>40</v>
      </c>
      <c r="B21" s="5"/>
      <c r="C21" s="5"/>
      <c r="D21" s="5"/>
      <c r="E21" s="5"/>
      <c r="F21" s="5"/>
      <c r="G21" s="5"/>
      <c r="H21" s="5"/>
      <c r="I21" s="5"/>
      <c r="J21" s="5"/>
      <c r="K21" s="5"/>
      <c r="L21" s="5"/>
      <c r="M21" s="5"/>
      <c r="N21" s="5"/>
      <c r="O21" s="6"/>
    </row>
    <row r="22" ht="11.25">
      <c r="A22" s="23" t="s">
        <v>206</v>
      </c>
    </row>
    <row r="24" spans="1:15" ht="11.25">
      <c r="A24" s="5"/>
      <c r="B24" s="19" t="s">
        <v>28</v>
      </c>
      <c r="C24" s="20" t="s">
        <v>0</v>
      </c>
      <c r="D24" s="20" t="s">
        <v>29</v>
      </c>
      <c r="E24" s="20" t="s">
        <v>1</v>
      </c>
      <c r="F24" s="20" t="s">
        <v>2</v>
      </c>
      <c r="G24" s="20" t="s">
        <v>3</v>
      </c>
      <c r="H24" s="20" t="s">
        <v>4</v>
      </c>
      <c r="I24" s="20" t="s">
        <v>5</v>
      </c>
      <c r="J24" s="20" t="s">
        <v>30</v>
      </c>
      <c r="K24" s="20" t="s">
        <v>6</v>
      </c>
      <c r="L24" s="20" t="s">
        <v>7</v>
      </c>
      <c r="M24" s="20" t="s">
        <v>8</v>
      </c>
      <c r="N24" s="20" t="s">
        <v>9</v>
      </c>
      <c r="O24" s="21" t="s">
        <v>31</v>
      </c>
    </row>
    <row r="25" spans="1:15" ht="11.25">
      <c r="A25" s="5">
        <v>1990</v>
      </c>
      <c r="B25" s="90">
        <f>+B5/surface_area!B$5*1000</f>
        <v>0</v>
      </c>
      <c r="C25" s="90">
        <f>+C5/surface_area!C$5*1000</f>
        <v>5.207488693082508</v>
      </c>
      <c r="D25" s="90" t="e">
        <f>+D5/surface_area!D$5*1000</f>
        <v>#VALUE!</v>
      </c>
      <c r="E25" s="90" t="e">
        <f>+E5/surface_area!E$5*1000</f>
        <v>#VALUE!</v>
      </c>
      <c r="F25" s="90" t="e">
        <f>+F5/surface_area!F$5*1000</f>
        <v>#VALUE!</v>
      </c>
      <c r="G25" s="90">
        <f>+G5/surface_area!G$5*1000</f>
        <v>12.942061700526713</v>
      </c>
      <c r="H25" s="90">
        <f>+H5/surface_area!H$5*1000</f>
        <v>11.859604576630696</v>
      </c>
      <c r="I25" s="90" t="e">
        <f>+I5/surface_area!I$5*1000</f>
        <v>#VALUE!</v>
      </c>
      <c r="J25" s="90" t="e">
        <f>+J5/surface_area!J$5*1000</f>
        <v>#VALUE!</v>
      </c>
      <c r="K25" s="90">
        <f>+K5/surface_area!K$5*1000</f>
        <v>6.520939603754577</v>
      </c>
      <c r="L25" s="90">
        <f>+L5/surface_area!L$5*1000</f>
        <v>15.4955514260186</v>
      </c>
      <c r="M25" s="90">
        <f>+M5/surface_area!M$5*1000</f>
        <v>0</v>
      </c>
      <c r="N25" s="90" t="e">
        <f>+N5/surface_area!N$5*1000</f>
        <v>#VALUE!</v>
      </c>
      <c r="O25" s="90" t="e">
        <f>+O5/surface_area!O$5*1000</f>
        <v>#VALUE!</v>
      </c>
    </row>
    <row r="26" spans="1:15" ht="11.25">
      <c r="A26" s="5">
        <v>1991</v>
      </c>
      <c r="B26" s="90">
        <f>+B6/surface_area!B$5*1000</f>
        <v>0</v>
      </c>
      <c r="C26" s="90">
        <f>+C6/surface_area!C$5*1000</f>
        <v>5.207488693082508</v>
      </c>
      <c r="D26" s="90" t="e">
        <f>+D6/surface_area!D$5*1000</f>
        <v>#VALUE!</v>
      </c>
      <c r="E26" s="90" t="e">
        <f>+E6/surface_area!E$5*1000</f>
        <v>#VALUE!</v>
      </c>
      <c r="F26" s="90" t="e">
        <f>+F6/surface_area!F$5*1000</f>
        <v>#VALUE!</v>
      </c>
      <c r="G26" s="90">
        <f>+G6/surface_area!G$5*1000</f>
        <v>12.942061700526713</v>
      </c>
      <c r="H26" s="90">
        <f>+H6/surface_area!H$5*1000</f>
        <v>11.859604576630696</v>
      </c>
      <c r="I26" s="90" t="e">
        <f>+I6/surface_area!I$5*1000</f>
        <v>#VALUE!</v>
      </c>
      <c r="J26" s="90" t="e">
        <f>+J6/surface_area!J$5*1000</f>
        <v>#VALUE!</v>
      </c>
      <c r="K26" s="90">
        <f>+K6/surface_area!K$5*1000</f>
        <v>6.524137710475398</v>
      </c>
      <c r="L26" s="90">
        <f>+L6/surface_area!L$5*1000</f>
        <v>16.355483218745675</v>
      </c>
      <c r="M26" s="90">
        <f>+M6/surface_area!M$5*1000</f>
        <v>0</v>
      </c>
      <c r="N26" s="90" t="e">
        <f>+N6/surface_area!N$5*1000</f>
        <v>#VALUE!</v>
      </c>
      <c r="O26" s="90" t="e">
        <f>+O6/surface_area!O$5*1000</f>
        <v>#VALUE!</v>
      </c>
    </row>
    <row r="27" spans="1:15" ht="11.25">
      <c r="A27" s="5">
        <v>1992</v>
      </c>
      <c r="B27" s="90">
        <f>+B7/surface_area!B$5*1000</f>
        <v>0</v>
      </c>
      <c r="C27" s="90">
        <f>+C7/surface_area!C$5*1000</f>
        <v>5.207488693082508</v>
      </c>
      <c r="D27" s="90" t="e">
        <f>+D7/surface_area!D$5*1000</f>
        <v>#VALUE!</v>
      </c>
      <c r="E27" s="90" t="e">
        <f>+E7/surface_area!E$5*1000</f>
        <v>#VALUE!</v>
      </c>
      <c r="F27" s="90" t="e">
        <f>+F7/surface_area!F$5*1000</f>
        <v>#VALUE!</v>
      </c>
      <c r="G27" s="90">
        <f>+G7/surface_area!G$5*1000</f>
        <v>9.749543158121037</v>
      </c>
      <c r="H27" s="90">
        <f>+H7/surface_area!H$5*1000</f>
        <v>11.859604576630696</v>
      </c>
      <c r="I27" s="90">
        <f>+I7/surface_area!I$5*1000</f>
        <v>4.793261868300153</v>
      </c>
      <c r="J27" s="90" t="e">
        <f>+J7/surface_area!J$5*1000</f>
        <v>#VALUE!</v>
      </c>
      <c r="K27" s="90">
        <f>+K7/surface_area!K$5*1000</f>
        <v>7.010249932040232</v>
      </c>
      <c r="L27" s="90">
        <f>+L7/surface_area!L$5*1000</f>
        <v>16.355483218745675</v>
      </c>
      <c r="M27" s="90">
        <f>+M7/surface_area!M$5*1000</f>
        <v>0</v>
      </c>
      <c r="N27" s="90" t="e">
        <f>+N7/surface_area!N$5*1000</f>
        <v>#VALUE!</v>
      </c>
      <c r="O27" s="90">
        <f>+O7/surface_area!O$5*1000</f>
        <v>2.5128579080167524</v>
      </c>
    </row>
    <row r="28" spans="1:15" ht="11.25">
      <c r="A28" s="5">
        <v>1993</v>
      </c>
      <c r="B28" s="90">
        <f>+B8/surface_area!B$5*1000</f>
        <v>2.5167010601495847</v>
      </c>
      <c r="C28" s="90">
        <f>+C8/surface_area!C$5*1000</f>
        <v>5.207488693082508</v>
      </c>
      <c r="D28" s="90" t="e">
        <f>+D8/surface_area!D$5*1000</f>
        <v>#VALUE!</v>
      </c>
      <c r="E28" s="90">
        <f>+E8/surface_area!E$5*1000</f>
        <v>7.366926178581391</v>
      </c>
      <c r="F28" s="90" t="e">
        <f>+F8/surface_area!F$5*1000</f>
        <v>#VALUE!</v>
      </c>
      <c r="G28" s="90">
        <f>+G8/surface_area!G$5*1000</f>
        <v>9.104589917231001</v>
      </c>
      <c r="H28" s="90">
        <f>+H8/surface_area!H$5*1000</f>
        <v>11.689296939107278</v>
      </c>
      <c r="I28" s="90">
        <f>+I8/surface_area!I$5*1000</f>
        <v>4.793261868300153</v>
      </c>
      <c r="J28" s="90" t="e">
        <f>+J8/surface_area!J$5*1000</f>
        <v>#VALUE!</v>
      </c>
      <c r="K28" s="90">
        <f>+K8/surface_area!K$5*1000</f>
        <v>7.010249932040232</v>
      </c>
      <c r="L28" s="90">
        <f>+L8/surface_area!L$5*1000</f>
        <v>14.828579938001015</v>
      </c>
      <c r="M28" s="90">
        <f>+M8/surface_area!M$5*1000</f>
        <v>0</v>
      </c>
      <c r="N28" s="90" t="e">
        <f>+N8/surface_area!N$5*1000</f>
        <v>#VALUE!</v>
      </c>
      <c r="O28" s="90">
        <f>+O8/surface_area!O$5*1000</f>
        <v>1.453250130676355</v>
      </c>
    </row>
    <row r="29" spans="1:15" ht="11.25">
      <c r="A29" s="5">
        <v>1994</v>
      </c>
      <c r="B29" s="90">
        <f>+B9/surface_area!B$5*1000</f>
        <v>2.6154794294046027</v>
      </c>
      <c r="C29" s="90">
        <f>+C9/surface_area!C$5*1000</f>
        <v>5.207488693082508</v>
      </c>
      <c r="D29" s="90" t="e">
        <f>+D9/surface_area!D$5*1000</f>
        <v>#VALUE!</v>
      </c>
      <c r="E29" s="90">
        <f>+E9/surface_area!E$5*1000</f>
        <v>7.366926178581391</v>
      </c>
      <c r="F29" s="90" t="e">
        <f>+F9/surface_area!F$5*1000</f>
        <v>#VALUE!</v>
      </c>
      <c r="G29" s="90">
        <f>+G9/surface_area!G$5*1000</f>
        <v>9.104589917231001</v>
      </c>
      <c r="H29" s="90">
        <f>+H9/surface_area!H$5*1000</f>
        <v>11.859604576630696</v>
      </c>
      <c r="I29" s="90">
        <f>+I9/surface_area!I$5*1000</f>
        <v>6.1255742725880555</v>
      </c>
      <c r="J29" s="90" t="e">
        <f>+J9/surface_area!J$5*1000</f>
        <v>#VALUE!</v>
      </c>
      <c r="K29" s="90">
        <f>+K9/surface_area!K$5*1000</f>
        <v>7.285287110030862</v>
      </c>
      <c r="L29" s="90">
        <f>+L9/surface_area!L$5*1000</f>
        <v>14.828579938001015</v>
      </c>
      <c r="M29" s="90">
        <f>+M9/surface_area!M$5*1000</f>
        <v>0</v>
      </c>
      <c r="N29" s="90" t="e">
        <f>+N9/surface_area!N$5*1000</f>
        <v>#VALUE!</v>
      </c>
      <c r="O29" s="90">
        <f>+O9/surface_area!O$5*1000</f>
        <v>1.453250130676355</v>
      </c>
    </row>
    <row r="30" spans="1:15" ht="11.25">
      <c r="A30" s="5">
        <v>1995</v>
      </c>
      <c r="B30" s="90">
        <f>+B10/surface_area!B$5*1000</f>
        <v>2.6154794294046027</v>
      </c>
      <c r="C30" s="90">
        <f>+C10/surface_area!C$5*1000</f>
        <v>5.207488693082508</v>
      </c>
      <c r="D30" s="90" t="e">
        <f>+D10/surface_area!D$5*1000</f>
        <v>#VALUE!</v>
      </c>
      <c r="E30" s="90">
        <f>+E10/surface_area!E$5*1000</f>
        <v>7.366926178581391</v>
      </c>
      <c r="F30" s="90" t="e">
        <f>+F10/surface_area!F$5*1000</f>
        <v>#VALUE!</v>
      </c>
      <c r="G30" s="90">
        <f>+G10/surface_area!G$5*1000</f>
        <v>9.104589917231001</v>
      </c>
      <c r="H30" s="90">
        <f>+H10/surface_area!H$5*1000</f>
        <v>11.859604576630696</v>
      </c>
      <c r="I30" s="90">
        <f>+I10/surface_area!I$5*1000</f>
        <v>6.1255742725880555</v>
      </c>
      <c r="J30" s="90" t="e">
        <f>+J10/surface_area!J$5*1000</f>
        <v>#VALUE!</v>
      </c>
      <c r="K30" s="90">
        <f>+K10/surface_area!K$5*1000</f>
        <v>7.285287110030862</v>
      </c>
      <c r="L30" s="90">
        <f>+L10/surface_area!L$5*1000</f>
        <v>14.87472261956198</v>
      </c>
      <c r="M30" s="90">
        <f>+M10/surface_area!M$5*1000</f>
        <v>0</v>
      </c>
      <c r="N30" s="90" t="e">
        <f>+N10/surface_area!N$5*1000</f>
        <v>#VALUE!</v>
      </c>
      <c r="O30" s="90">
        <f>+O10/surface_area!O$5*1000</f>
        <v>1.453250130676355</v>
      </c>
    </row>
    <row r="31" spans="1:15" ht="11.25">
      <c r="A31" s="5">
        <v>1996</v>
      </c>
      <c r="B31" s="90">
        <f>+B11/surface_area!B$5*1000</f>
        <v>2.698152629759346</v>
      </c>
      <c r="C31" s="90">
        <f>+C11/surface_area!C$5*1000</f>
        <v>5.207488693082508</v>
      </c>
      <c r="D31" s="90">
        <f>+D11/surface_area!D$5*1000</f>
        <v>0</v>
      </c>
      <c r="E31" s="90">
        <f>+E11/surface_area!E$5*1000</f>
        <v>9.332285141886238</v>
      </c>
      <c r="F31" s="90">
        <f>+F11/surface_area!F$5*1000</f>
        <v>0</v>
      </c>
      <c r="G31" s="90">
        <f>+G11/surface_area!G$5*1000</f>
        <v>9.104589917231001</v>
      </c>
      <c r="H31" s="90">
        <f>+H11/surface_area!H$5*1000</f>
        <v>11.859604576630696</v>
      </c>
      <c r="I31" s="90">
        <f>+I11/surface_area!I$5*1000</f>
        <v>6.1102603369065855</v>
      </c>
      <c r="J31" s="90">
        <f>+J11/surface_area!J$5*1000</f>
        <v>0</v>
      </c>
      <c r="K31" s="90">
        <f>+K11/surface_area!K$5*1000</f>
        <v>7.285287110030862</v>
      </c>
      <c r="L31" s="90">
        <f>+L11/surface_area!L$5*1000</f>
        <v>14.87472261956198</v>
      </c>
      <c r="M31" s="90">
        <f>+M11/surface_area!M$5*1000</f>
        <v>0</v>
      </c>
      <c r="N31" s="90">
        <f>+N11/surface_area!N$5*1000</f>
        <v>0</v>
      </c>
      <c r="O31" s="90">
        <f>+O11/surface_area!O$5*1000</f>
        <v>2.725811968018172</v>
      </c>
    </row>
    <row r="32" spans="1:15" ht="11.25">
      <c r="A32" s="5">
        <v>1997</v>
      </c>
      <c r="B32" s="90">
        <f>+B12/surface_area!B$5*1000</f>
        <v>2.6986894687226886</v>
      </c>
      <c r="C32" s="90">
        <f>+C12/surface_area!C$5*1000</f>
        <v>5.207488693082508</v>
      </c>
      <c r="D32" s="90">
        <f>+D12/surface_area!D$5*1000</f>
        <v>0</v>
      </c>
      <c r="E32" s="90">
        <f>+E12/surface_area!E$5*1000</f>
        <v>9.332285141886238</v>
      </c>
      <c r="F32" s="90">
        <f>+F12/surface_area!F$5*1000</f>
        <v>0</v>
      </c>
      <c r="G32" s="90">
        <f>+G12/surface_area!G$5*1000</f>
        <v>9.115339137912501</v>
      </c>
      <c r="H32" s="90">
        <f>+H12/surface_area!H$5*1000</f>
        <v>11.859604576630696</v>
      </c>
      <c r="I32" s="90">
        <f>+I12/surface_area!I$5*1000</f>
        <v>6.1102603369065855</v>
      </c>
      <c r="J32" s="90">
        <f>+J12/surface_area!J$5*1000</f>
        <v>0</v>
      </c>
      <c r="K32" s="90">
        <f>+K12/surface_area!K$5*1000</f>
        <v>7.285287110030862</v>
      </c>
      <c r="L32" s="90">
        <f>+L12/surface_area!L$5*1000</f>
        <v>19.41767935870062</v>
      </c>
      <c r="M32" s="90">
        <f>+M12/surface_area!M$5*1000</f>
        <v>0</v>
      </c>
      <c r="N32" s="90">
        <f>+N12/surface_area!N$5*1000</f>
        <v>0</v>
      </c>
      <c r="O32" s="90">
        <f>+O12/surface_area!O$5*1000</f>
        <v>2.725811968018172</v>
      </c>
    </row>
    <row r="33" spans="1:15" ht="11.25">
      <c r="A33" s="5">
        <v>1998</v>
      </c>
      <c r="B33" s="90">
        <f>+B13/surface_area!B$5*1000</f>
        <v>2.6986894687226886</v>
      </c>
      <c r="C33" s="90">
        <f>+C13/surface_area!C$5*1000</f>
        <v>5.207488693082508</v>
      </c>
      <c r="D33" s="90">
        <f>+D13/surface_area!D$5*1000</f>
        <v>0</v>
      </c>
      <c r="E33" s="90">
        <f>+E13/surface_area!E$5*1000</f>
        <v>9.332285141886238</v>
      </c>
      <c r="F33" s="90">
        <f>+F13/surface_area!F$5*1000</f>
        <v>0</v>
      </c>
      <c r="G33" s="90">
        <f>+G13/surface_area!G$5*1000</f>
        <v>9.115339137912501</v>
      </c>
      <c r="H33" s="90">
        <f>+H13/surface_area!H$5*1000</f>
        <v>11.859604576630696</v>
      </c>
      <c r="I33" s="90">
        <f>+I13/surface_area!I$5*1000</f>
        <v>6.1102603369065855</v>
      </c>
      <c r="J33" s="90">
        <f>+J13/surface_area!J$5*1000</f>
        <v>0</v>
      </c>
      <c r="K33" s="90">
        <f>+K13/surface_area!K$5*1000</f>
        <v>7.285287110030862</v>
      </c>
      <c r="L33" s="90">
        <f>+L13/surface_area!L$5*1000</f>
        <v>19.41767935870062</v>
      </c>
      <c r="M33" s="90">
        <f>+M13/surface_area!M$5*1000</f>
        <v>0</v>
      </c>
      <c r="N33" s="90">
        <f>+N13/surface_area!N$5*1000</f>
        <v>0</v>
      </c>
      <c r="O33" s="90">
        <f>+O13/surface_area!O$5*1000</f>
        <v>2.725811968018172</v>
      </c>
    </row>
    <row r="34" spans="1:15" ht="11.25">
      <c r="A34" s="5">
        <v>1999</v>
      </c>
      <c r="B34" s="90">
        <f>+B14/surface_area!B$5*1000</f>
        <v>2.7529102040202797</v>
      </c>
      <c r="C34" s="90">
        <f>+C14/surface_area!C$5*1000</f>
        <v>5.207488693082508</v>
      </c>
      <c r="D34" s="90">
        <f>+D14/surface_area!D$5*1000</f>
        <v>0</v>
      </c>
      <c r="E34" s="90">
        <f>+E14/surface_area!E$5*1000</f>
        <v>9.332285141886238</v>
      </c>
      <c r="F34" s="90">
        <f>+F14/surface_area!F$5*1000</f>
        <v>0</v>
      </c>
      <c r="G34" s="90">
        <f>+G14/surface_area!G$5*1000</f>
        <v>9.115339137912501</v>
      </c>
      <c r="H34" s="90">
        <f>+H14/surface_area!H$5*1000</f>
        <v>11.859604576630696</v>
      </c>
      <c r="I34" s="90">
        <f>+I14/surface_area!I$5*1000</f>
        <v>7.656967840735069</v>
      </c>
      <c r="J34" s="90">
        <f>+J14/surface_area!J$5*1000</f>
        <v>0</v>
      </c>
      <c r="K34" s="90">
        <f>+K14/surface_area!K$5*1000</f>
        <v>7.285287110030862</v>
      </c>
      <c r="L34" s="90">
        <f>+L14/surface_area!L$5*1000</f>
        <v>18.55355277674073</v>
      </c>
      <c r="M34" s="90">
        <f>+M14/surface_area!M$5*1000</f>
        <v>0</v>
      </c>
      <c r="N34" s="90">
        <f>+N14/surface_area!N$5*1000</f>
        <v>0</v>
      </c>
      <c r="O34" s="90">
        <f>+O14/surface_area!O$5*1000</f>
        <v>2.725811968018172</v>
      </c>
    </row>
    <row r="37" spans="1:15" ht="11.25">
      <c r="A37" s="4" t="s">
        <v>43</v>
      </c>
      <c r="B37" s="5"/>
      <c r="C37" s="5"/>
      <c r="D37" s="5"/>
      <c r="E37" s="5"/>
      <c r="F37" s="5"/>
      <c r="G37" s="5"/>
      <c r="H37" s="5"/>
      <c r="I37" s="5"/>
      <c r="J37" s="5"/>
      <c r="K37" s="5"/>
      <c r="L37" s="5"/>
      <c r="M37" s="5"/>
      <c r="N37" s="5"/>
      <c r="O37" s="6"/>
    </row>
    <row r="38" ht="11.25">
      <c r="A38" s="23" t="s">
        <v>42</v>
      </c>
    </row>
    <row r="40" spans="1:15" ht="11.25">
      <c r="A40" s="5"/>
      <c r="B40" s="19" t="s">
        <v>28</v>
      </c>
      <c r="C40" s="20" t="s">
        <v>0</v>
      </c>
      <c r="D40" s="20" t="s">
        <v>29</v>
      </c>
      <c r="E40" s="20" t="s">
        <v>1</v>
      </c>
      <c r="F40" s="20" t="s">
        <v>2</v>
      </c>
      <c r="G40" s="20" t="s">
        <v>3</v>
      </c>
      <c r="H40" s="20" t="s">
        <v>4</v>
      </c>
      <c r="I40" s="20" t="s">
        <v>5</v>
      </c>
      <c r="J40" s="20" t="s">
        <v>30</v>
      </c>
      <c r="K40" s="20" t="s">
        <v>6</v>
      </c>
      <c r="L40" s="20" t="s">
        <v>7</v>
      </c>
      <c r="M40" s="20" t="s">
        <v>8</v>
      </c>
      <c r="N40" s="20" t="s">
        <v>9</v>
      </c>
      <c r="O40" s="21" t="s">
        <v>31</v>
      </c>
    </row>
    <row r="41" spans="1:15" ht="11.25">
      <c r="A41" s="5">
        <v>1990</v>
      </c>
      <c r="B41" s="92">
        <f>+B5/'[2]manip_POP'!B6</f>
        <v>0</v>
      </c>
      <c r="C41" s="92">
        <f>+C5/'[2]manip_POP'!C6</f>
        <v>0.0662973286076414</v>
      </c>
      <c r="D41" s="92" t="e">
        <f>+D5/'[2]manip_POP'!D6</f>
        <v>#VALUE!</v>
      </c>
      <c r="E41" s="92" t="e">
        <f>+E5/'[2]manip_POP'!E6</f>
        <v>#VALUE!</v>
      </c>
      <c r="F41" s="92" t="e">
        <f>+F5/'[2]manip_POP'!F6</f>
        <v>#VALUE!</v>
      </c>
      <c r="G41" s="92">
        <f>+G5/'[2]manip_POP'!G6</f>
        <v>0.11616239580117321</v>
      </c>
      <c r="H41" s="92">
        <f>+H5/'[2]manip_POP'!H6</f>
        <v>0.28681941235719877</v>
      </c>
      <c r="I41" s="92" t="e">
        <f>+I5/'[2]manip_POP'!I6</f>
        <v>#VALUE!</v>
      </c>
      <c r="J41" s="92" t="e">
        <f>+J5/'[2]manip_POP'!J6</f>
        <v>#VALUE!</v>
      </c>
      <c r="K41" s="92">
        <f>+K5/'[2]manip_POP'!K6</f>
        <v>0.05349038537212414</v>
      </c>
      <c r="L41" s="92">
        <f>+L5/'[2]manip_POP'!L6</f>
        <v>0.15917803119096538</v>
      </c>
      <c r="M41" s="92">
        <f>+M5/'[2]manip_POP'!M6</f>
        <v>0</v>
      </c>
      <c r="N41" s="92" t="e">
        <f>+N5/'[2]manip_POP'!N6</f>
        <v>#VALUE!</v>
      </c>
      <c r="O41" s="92" t="e">
        <f>+O5/'[2]manip_POP'!O6</f>
        <v>#VALUE!</v>
      </c>
    </row>
    <row r="42" spans="1:15" ht="11.25">
      <c r="A42" s="5">
        <v>1991</v>
      </c>
      <c r="B42" s="92">
        <f>+B6/'[2]manip_POP'!B7</f>
        <v>0</v>
      </c>
      <c r="C42" s="92">
        <f>+C6/'[2]manip_POP'!C7</f>
        <v>0.06695782120639923</v>
      </c>
      <c r="D42" s="92" t="e">
        <f>+D6/'[2]manip_POP'!D7</f>
        <v>#VALUE!</v>
      </c>
      <c r="E42" s="92" t="e">
        <f>+E6/'[2]manip_POP'!E7</f>
        <v>#VALUE!</v>
      </c>
      <c r="F42" s="92" t="e">
        <f>+F6/'[2]manip_POP'!F7</f>
        <v>#VALUE!</v>
      </c>
      <c r="G42" s="92">
        <f>+G6/'[2]manip_POP'!G7</f>
        <v>0.11637347767253045</v>
      </c>
      <c r="H42" s="92">
        <f>+H6/'[2]manip_POP'!H7</f>
        <v>0.28770882364651024</v>
      </c>
      <c r="I42" s="92" t="e">
        <f>+I6/'[2]manip_POP'!I7</f>
        <v>#VALUE!</v>
      </c>
      <c r="J42" s="92" t="e">
        <f>+J6/'[2]manip_POP'!J7</f>
        <v>#VALUE!</v>
      </c>
      <c r="K42" s="92">
        <f>+K6/'[2]manip_POP'!K7</f>
        <v>0.05334030592234279</v>
      </c>
      <c r="L42" s="92">
        <f>+L6/'[2]manip_POP'!L7</f>
        <v>0.16816846555311166</v>
      </c>
      <c r="M42" s="92">
        <f>+M6/'[2]manip_POP'!M7</f>
        <v>0</v>
      </c>
      <c r="N42" s="92" t="e">
        <f>+N6/'[2]manip_POP'!N7</f>
        <v>#VALUE!</v>
      </c>
      <c r="O42" s="92" t="e">
        <f>+O6/'[2]manip_POP'!O7</f>
        <v>#VALUE!</v>
      </c>
    </row>
    <row r="43" spans="1:15" ht="11.25">
      <c r="A43" s="5">
        <v>1992</v>
      </c>
      <c r="B43" s="92">
        <f>+B7/'[2]manip_POP'!B8</f>
        <v>0</v>
      </c>
      <c r="C43" s="92">
        <f>+C7/'[2]manip_POP'!C8</f>
        <v>0.06768070631491434</v>
      </c>
      <c r="D43" s="92" t="e">
        <f>+D7/'[2]manip_POP'!D8</f>
        <v>#VALUE!</v>
      </c>
      <c r="E43" s="92" t="e">
        <f>+E7/'[2]manip_POP'!E8</f>
        <v>#VALUE!</v>
      </c>
      <c r="F43" s="92" t="e">
        <f>+F7/'[2]manip_POP'!F8</f>
        <v>#VALUE!</v>
      </c>
      <c r="G43" s="92">
        <f>+G7/'[2]manip_POP'!G8</f>
        <v>0.0878560981043618</v>
      </c>
      <c r="H43" s="92">
        <f>+H7/'[2]manip_POP'!H8</f>
        <v>0.29108132150919963</v>
      </c>
      <c r="I43" s="92">
        <f>+I7/'[2]manip_POP'!I8</f>
        <v>0.0836518160194564</v>
      </c>
      <c r="J43" s="92" t="e">
        <f>+J7/'[2]manip_POP'!J8</f>
        <v>#VALUE!</v>
      </c>
      <c r="K43" s="92">
        <f>+K7/'[2]manip_POP'!K8</f>
        <v>0.05713540987879578</v>
      </c>
      <c r="L43" s="92">
        <f>+L7/'[2]manip_POP'!L8</f>
        <v>0.17109154872254204</v>
      </c>
      <c r="M43" s="92">
        <f>+M7/'[2]manip_POP'!M8</f>
        <v>0</v>
      </c>
      <c r="N43" s="92" t="e">
        <f>+N7/'[2]manip_POP'!N8</f>
        <v>#VALUE!</v>
      </c>
      <c r="O43" s="92">
        <f>+O7/'[2]manip_POP'!O8</f>
        <v>0.0334518839235091</v>
      </c>
    </row>
    <row r="44" spans="1:15" ht="11.25">
      <c r="A44" s="5">
        <v>1993</v>
      </c>
      <c r="B44" s="92">
        <f>+B8/'[2]manip_POP'!B9</f>
        <v>0.02828099765200757</v>
      </c>
      <c r="C44" s="92">
        <f>+C8/'[2]manip_POP'!C9</f>
        <v>0.0682223245163651</v>
      </c>
      <c r="D44" s="92" t="e">
        <f>+D8/'[2]manip_POP'!D9</f>
        <v>#VALUE!</v>
      </c>
      <c r="E44" s="92">
        <f>+E8/'[2]manip_POP'!E9</f>
        <v>0.056240644910797596</v>
      </c>
      <c r="F44" s="92" t="e">
        <f>+F8/'[2]manip_POP'!F9</f>
        <v>#VALUE!</v>
      </c>
      <c r="G44" s="92">
        <f>+G8/'[2]manip_POP'!G9</f>
        <v>0.08228413771663946</v>
      </c>
      <c r="H44" s="92">
        <f>+H8/'[2]manip_POP'!H9</f>
        <v>0.2919549963940658</v>
      </c>
      <c r="I44" s="92">
        <f>+I8/'[2]manip_POP'!I9</f>
        <v>0.08390858521546814</v>
      </c>
      <c r="J44" s="92" t="e">
        <f>+J8/'[2]manip_POP'!J9</f>
        <v>#VALUE!</v>
      </c>
      <c r="K44" s="92">
        <f>+K8/'[2]manip_POP'!K9</f>
        <v>0.05699576172027354</v>
      </c>
      <c r="L44" s="92">
        <f>+L8/'[2]manip_POP'!L9</f>
        <v>0.15534869740007368</v>
      </c>
      <c r="M44" s="92">
        <f>+M8/'[2]manip_POP'!M9</f>
        <v>0</v>
      </c>
      <c r="N44" s="92" t="e">
        <f>+N8/'[2]manip_POP'!N9</f>
        <v>#VALUE!</v>
      </c>
      <c r="O44" s="92">
        <f>+O8/'[2]manip_POP'!O9</f>
        <v>0.019013525607470324</v>
      </c>
    </row>
    <row r="45" spans="1:15" ht="11.25">
      <c r="A45" s="5">
        <v>1994</v>
      </c>
      <c r="B45" s="92">
        <f>+B9/'[2]manip_POP'!B10</f>
        <v>0.029215148614633632</v>
      </c>
      <c r="C45" s="92">
        <f>+C9/'[2]manip_POP'!C10</f>
        <v>0.06845421384243687</v>
      </c>
      <c r="D45" s="92" t="e">
        <f>+D9/'[2]manip_POP'!D10</f>
        <v>#VALUE!</v>
      </c>
      <c r="E45" s="92">
        <f>+E9/'[2]manip_POP'!E10</f>
        <v>0.05621041930263864</v>
      </c>
      <c r="F45" s="92" t="e">
        <f>+F9/'[2]manip_POP'!F10</f>
        <v>#VALUE!</v>
      </c>
      <c r="G45" s="92">
        <f>+G9/'[2]manip_POP'!G10</f>
        <v>0.08254274535027067</v>
      </c>
      <c r="H45" s="92">
        <f>+H9/'[2]manip_POP'!H10</f>
        <v>0.30066352042833955</v>
      </c>
      <c r="I45" s="92">
        <f>+I9/'[2]manip_POP'!I10</f>
        <v>0.10750231801873228</v>
      </c>
      <c r="J45" s="92" t="e">
        <f>+J9/'[2]manip_POP'!J10</f>
        <v>#VALUE!</v>
      </c>
      <c r="K45" s="92">
        <f>+K9/'[2]manip_POP'!K10</f>
        <v>0.059101286841012866</v>
      </c>
      <c r="L45" s="92">
        <f>+L9/'[2]manip_POP'!L10</f>
        <v>0.15551708175869539</v>
      </c>
      <c r="M45" s="92">
        <f>+M9/'[2]manip_POP'!M10</f>
        <v>0</v>
      </c>
      <c r="N45" s="92" t="e">
        <f>+N9/'[2]manip_POP'!N10</f>
        <v>#VALUE!</v>
      </c>
      <c r="O45" s="92">
        <f>+O9/'[2]manip_POP'!O10</f>
        <v>0.018691899070385126</v>
      </c>
    </row>
    <row r="46" spans="1:15" ht="11.25">
      <c r="A46" s="5">
        <v>1995</v>
      </c>
      <c r="B46" s="92">
        <f>+B10/'[2]manip_POP'!B11</f>
        <v>0.029052686614844375</v>
      </c>
      <c r="C46" s="92">
        <f>+C10/'[2]manip_POP'!C11</f>
        <v>0.06875959124921188</v>
      </c>
      <c r="D46" s="92" t="e">
        <f>+D10/'[2]manip_POP'!D11</f>
        <v>#VALUE!</v>
      </c>
      <c r="E46" s="92">
        <f>+E10/'[2]manip_POP'!E11</f>
        <v>0.05623981742290184</v>
      </c>
      <c r="F46" s="92" t="e">
        <f>+F10/'[2]manip_POP'!F11</f>
        <v>#VALUE!</v>
      </c>
      <c r="G46" s="92">
        <f>+G10/'[2]manip_POP'!G11</f>
        <v>0.08280379313715906</v>
      </c>
      <c r="H46" s="92">
        <f>+H10/'[2]manip_POP'!H11</f>
        <v>0.30449973892923815</v>
      </c>
      <c r="I46" s="92">
        <f>+I10/'[2]manip_POP'!I11</f>
        <v>0.10767739851405189</v>
      </c>
      <c r="J46" s="92" t="e">
        <f>+J10/'[2]manip_POP'!J11</f>
        <v>#VALUE!</v>
      </c>
      <c r="K46" s="92">
        <f>+K10/'[2]manip_POP'!K11</f>
        <v>0.05903389654814968</v>
      </c>
      <c r="L46" s="92">
        <f>+L10/'[2]manip_POP'!L11</f>
        <v>0.15634265071160375</v>
      </c>
      <c r="M46" s="92">
        <f>+M10/'[2]manip_POP'!M11</f>
        <v>0</v>
      </c>
      <c r="N46" s="92" t="e">
        <f>+N10/'[2]manip_POP'!N11</f>
        <v>#VALUE!</v>
      </c>
      <c r="O46" s="92">
        <f>+O10/'[2]manip_POP'!O11</f>
        <v>0.01837587309876624</v>
      </c>
    </row>
    <row r="47" spans="1:15" ht="11.25">
      <c r="A47" s="5">
        <v>1996</v>
      </c>
      <c r="B47" s="92">
        <f>+B11/'[2]manip_POP'!B12</f>
        <v>0.02981097310365155</v>
      </c>
      <c r="C47" s="92">
        <f>+C11/'[2]manip_POP'!C12</f>
        <v>0.06911560721289521</v>
      </c>
      <c r="D47" s="92">
        <f>+D11/'[2]manip_POP'!D12</f>
        <v>0</v>
      </c>
      <c r="E47" s="92">
        <f>+E11/'[2]manip_POP'!E12</f>
        <v>0.07134995767958693</v>
      </c>
      <c r="F47" s="92">
        <f>+F11/'[2]manip_POP'!F12</f>
        <v>0</v>
      </c>
      <c r="G47" s="92">
        <f>+G11/'[2]manip_POP'!G12</f>
        <v>0.08309321813166616</v>
      </c>
      <c r="H47" s="92">
        <f>+H11/'[2]manip_POP'!H12</f>
        <v>0.30753603812483316</v>
      </c>
      <c r="I47" s="92">
        <f>+I11/'[2]manip_POP'!I12</f>
        <v>0.1075602161987303</v>
      </c>
      <c r="J47" s="92">
        <f>+J11/'[2]manip_POP'!J12</f>
        <v>0</v>
      </c>
      <c r="K47" s="92">
        <f>+K11/'[2]manip_POP'!K12</f>
        <v>0.0589880366668393</v>
      </c>
      <c r="L47" s="92">
        <f>+L11/'[2]manip_POP'!L12</f>
        <v>0.1568497701217554</v>
      </c>
      <c r="M47" s="92">
        <f>+M11/'[2]manip_POP'!M12</f>
        <v>0</v>
      </c>
      <c r="N47" s="92">
        <f>+N11/'[2]manip_POP'!N12</f>
        <v>0</v>
      </c>
      <c r="O47" s="92">
        <f>+O11/'[2]manip_POP'!O12</f>
        <v>0.03388307771289226</v>
      </c>
    </row>
    <row r="48" spans="1:15" ht="11.25">
      <c r="A48" s="5">
        <v>1997</v>
      </c>
      <c r="B48" s="92">
        <f>+B12/'[2]manip_POP'!B13</f>
        <v>0.029654958423639157</v>
      </c>
      <c r="C48" s="92">
        <f>+C12/'[2]manip_POP'!C13</f>
        <v>0.06953744844243334</v>
      </c>
      <c r="D48" s="92">
        <f>+D12/'[2]manip_POP'!D13</f>
        <v>0</v>
      </c>
      <c r="E48" s="92">
        <f>+E12/'[2]manip_POP'!E13</f>
        <v>0.07143105321399948</v>
      </c>
      <c r="F48" s="92">
        <f>+F12/'[2]manip_POP'!F13</f>
        <v>0</v>
      </c>
      <c r="G48" s="92">
        <f>+G12/'[2]manip_POP'!G13</f>
        <v>0.08350648455425459</v>
      </c>
      <c r="H48" s="92">
        <f>+H12/'[2]manip_POP'!H13</f>
        <v>0.31022991236004976</v>
      </c>
      <c r="I48" s="92">
        <f>+I12/'[2]manip_POP'!I13</f>
        <v>0.10767487046632125</v>
      </c>
      <c r="J48" s="92">
        <f>+J12/'[2]manip_POP'!J13</f>
        <v>0</v>
      </c>
      <c r="K48" s="92">
        <f>+K12/'[2]manip_POP'!K13</f>
        <v>0.0589391979301423</v>
      </c>
      <c r="L48" s="92">
        <f>+L12/'[2]manip_POP'!L13</f>
        <v>0.20531426410759374</v>
      </c>
      <c r="M48" s="92">
        <f>+M12/'[2]manip_POP'!M13</f>
        <v>0</v>
      </c>
      <c r="N48" s="92">
        <f>+N12/'[2]manip_POP'!N13</f>
        <v>0</v>
      </c>
      <c r="O48" s="92">
        <f>+O12/'[2]manip_POP'!O13</f>
        <v>0.033310726621768684</v>
      </c>
    </row>
    <row r="49" spans="1:15" ht="11.25">
      <c r="A49" s="5">
        <v>1998</v>
      </c>
      <c r="B49" s="92">
        <f>+B13/'[2]manip_POP'!B14</f>
        <v>0.029493798441910156</v>
      </c>
      <c r="C49" s="92">
        <f>+C13/'[2]manip_POP'!C14</f>
        <v>0.07000302539026687</v>
      </c>
      <c r="D49" s="92">
        <f>+D13/'[2]manip_POP'!D14</f>
        <v>0</v>
      </c>
      <c r="E49" s="92">
        <f>+E13/'[2]manip_POP'!E14</f>
        <v>0.07149141088007967</v>
      </c>
      <c r="F49" s="92">
        <f>+F13/'[2]manip_POP'!F14</f>
        <v>0</v>
      </c>
      <c r="G49" s="92">
        <f>+G13/'[2]manip_POP'!G14</f>
        <v>0.08384771218600429</v>
      </c>
      <c r="H49" s="92">
        <f>+H13/'[2]manip_POP'!H14</f>
        <v>0.31279043367617776</v>
      </c>
      <c r="I49" s="92">
        <f>+I13/'[2]manip_POP'!I14</f>
        <v>0.10776793431287814</v>
      </c>
      <c r="J49" s="92">
        <f>+J13/'[2]manip_POP'!J14</f>
        <v>0</v>
      </c>
      <c r="K49" s="92">
        <f>+K13/'[2]manip_POP'!K14</f>
        <v>0.05891480887601511</v>
      </c>
      <c r="L49" s="92">
        <f>+L13/'[2]manip_POP'!L14</f>
        <v>0.20570770672435784</v>
      </c>
      <c r="M49" s="92">
        <f>+M13/'[2]manip_POP'!M14</f>
        <v>0</v>
      </c>
      <c r="N49" s="92">
        <f>+N13/'[2]manip_POP'!N14</f>
        <v>0</v>
      </c>
      <c r="O49" s="92">
        <f>+O13/'[2]manip_POP'!O14</f>
        <v>0.03275485041641465</v>
      </c>
    </row>
    <row r="50" spans="1:15" ht="11.25">
      <c r="A50" s="5">
        <v>1999</v>
      </c>
      <c r="B50" s="92">
        <f>+B14/'[2]manip_POP'!B15</f>
        <v>0.029933071712176986</v>
      </c>
      <c r="C50" s="92">
        <f>+C14/'[2]manip_POP'!C15</f>
        <v>0.07039660264534113</v>
      </c>
      <c r="D50" s="92">
        <f>+D14/'[2]manip_POP'!D15</f>
        <v>0</v>
      </c>
      <c r="E50" s="92">
        <f>+E14/'[2]manip_POP'!E15</f>
        <v>0.07157594674749562</v>
      </c>
      <c r="F50" s="92">
        <f>+F14/'[2]manip_POP'!F15</f>
        <v>0</v>
      </c>
      <c r="G50" s="92">
        <f>+G14/'[2]manip_POP'!G15</f>
        <v>0.08423138341157267</v>
      </c>
      <c r="H50" s="92">
        <f>+H14/'[2]manip_POP'!H15</f>
        <v>0.3178855217877118</v>
      </c>
      <c r="I50" s="92">
        <f>+I14/'[2]manip_POP'!I15</f>
        <v>0.13514791939778087</v>
      </c>
      <c r="J50" s="92">
        <f>+J14/'[2]manip_POP'!J15</f>
        <v>0</v>
      </c>
      <c r="K50" s="92">
        <f>+K14/'[2]manip_POP'!K15</f>
        <v>0.058933098773736224</v>
      </c>
      <c r="L50" s="92">
        <f>+L14/'[2]manip_POP'!L15</f>
        <v>0.19694521627951028</v>
      </c>
      <c r="M50" s="92">
        <f>+M14/'[2]manip_POP'!M15</f>
        <v>0</v>
      </c>
      <c r="N50" s="92">
        <f>+N14/'[2]manip_POP'!N15</f>
        <v>0</v>
      </c>
      <c r="O50" s="92">
        <f>+O14/'[2]manip_POP'!O15</f>
        <v>0.03222164586702469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3"/>
  <dimension ref="A1:P29"/>
  <sheetViews>
    <sheetView workbookViewId="0" topLeftCell="C1">
      <selection activeCell="B8" sqref="B8"/>
    </sheetView>
  </sheetViews>
  <sheetFormatPr defaultColWidth="9.25390625" defaultRowHeight="12.75"/>
  <cols>
    <col min="1" max="16384" width="9.25390625" style="1" customWidth="1"/>
  </cols>
  <sheetData>
    <row r="1" spans="1:15" ht="11.25">
      <c r="A1" s="12" t="s">
        <v>34</v>
      </c>
      <c r="B1" s="13"/>
      <c r="C1" s="13"/>
      <c r="D1" s="13"/>
      <c r="E1" s="13"/>
      <c r="F1" s="13"/>
      <c r="G1" s="13"/>
      <c r="H1" s="13"/>
      <c r="I1" s="13"/>
      <c r="J1" s="13"/>
      <c r="K1" s="13"/>
      <c r="L1" s="13"/>
      <c r="M1" s="13"/>
      <c r="N1" s="13"/>
      <c r="O1" s="13"/>
    </row>
    <row r="2" spans="1:15" ht="11.25">
      <c r="A2" s="16" t="s">
        <v>27</v>
      </c>
      <c r="B2" s="17"/>
      <c r="C2" s="17"/>
      <c r="D2" s="17"/>
      <c r="E2" s="17"/>
      <c r="F2" s="17"/>
      <c r="G2" s="17"/>
      <c r="H2" s="17"/>
      <c r="I2" s="17"/>
      <c r="J2" s="17"/>
      <c r="K2" s="17"/>
      <c r="L2" s="17"/>
      <c r="M2" s="17"/>
      <c r="N2" s="17"/>
      <c r="O2" s="17"/>
    </row>
    <row r="3" spans="1:15" ht="11.25">
      <c r="A3" s="17"/>
      <c r="B3" s="17"/>
      <c r="C3" s="17"/>
      <c r="D3" s="17"/>
      <c r="E3" s="17"/>
      <c r="F3" s="17"/>
      <c r="G3" s="17"/>
      <c r="H3" s="17"/>
      <c r="I3" s="17"/>
      <c r="J3" s="17"/>
      <c r="K3" s="17"/>
      <c r="L3" s="17"/>
      <c r="M3" s="17"/>
      <c r="N3" s="17"/>
      <c r="O3" s="17"/>
    </row>
    <row r="4" spans="1:15" ht="11.25">
      <c r="A4" s="5"/>
      <c r="B4" s="19" t="s">
        <v>276</v>
      </c>
      <c r="C4" s="20" t="s">
        <v>0</v>
      </c>
      <c r="D4" s="20" t="s">
        <v>29</v>
      </c>
      <c r="E4" s="20" t="s">
        <v>1</v>
      </c>
      <c r="F4" s="20" t="s">
        <v>2</v>
      </c>
      <c r="G4" s="20" t="s">
        <v>3</v>
      </c>
      <c r="H4" s="20" t="s">
        <v>4</v>
      </c>
      <c r="I4" s="20" t="s">
        <v>5</v>
      </c>
      <c r="J4" s="20" t="s">
        <v>30</v>
      </c>
      <c r="K4" s="20" t="s">
        <v>6</v>
      </c>
      <c r="L4" s="20" t="s">
        <v>7</v>
      </c>
      <c r="M4" s="20" t="s">
        <v>8</v>
      </c>
      <c r="N4" s="20" t="s">
        <v>9</v>
      </c>
      <c r="O4" s="21" t="s">
        <v>31</v>
      </c>
    </row>
    <row r="5" spans="1:15" ht="12.75">
      <c r="A5" s="5">
        <v>1990</v>
      </c>
      <c r="B5" s="90"/>
      <c r="C5" s="103">
        <v>578</v>
      </c>
      <c r="D5" s="103" t="s">
        <v>270</v>
      </c>
      <c r="E5" s="103" t="s">
        <v>270</v>
      </c>
      <c r="F5" s="103" t="s">
        <v>270</v>
      </c>
      <c r="G5" s="103">
        <v>1204</v>
      </c>
      <c r="H5" s="103">
        <v>766</v>
      </c>
      <c r="I5" s="103" t="s">
        <v>270</v>
      </c>
      <c r="J5" s="103" t="s">
        <v>270</v>
      </c>
      <c r="K5" s="103">
        <v>2039</v>
      </c>
      <c r="L5" s="103">
        <v>3694</v>
      </c>
      <c r="M5" s="103">
        <v>0</v>
      </c>
      <c r="N5" s="103" t="s">
        <v>270</v>
      </c>
      <c r="O5" s="103" t="s">
        <v>270</v>
      </c>
    </row>
    <row r="6" spans="1:15" ht="12.75">
      <c r="A6" s="5">
        <v>1991</v>
      </c>
      <c r="B6" s="90"/>
      <c r="C6" s="103">
        <v>578</v>
      </c>
      <c r="D6" s="103" t="s">
        <v>270</v>
      </c>
      <c r="E6" s="103" t="s">
        <v>270</v>
      </c>
      <c r="F6" s="103" t="s">
        <v>270</v>
      </c>
      <c r="G6" s="103">
        <v>1204</v>
      </c>
      <c r="H6" s="103">
        <v>766</v>
      </c>
      <c r="I6" s="103" t="s">
        <v>270</v>
      </c>
      <c r="J6" s="103" t="s">
        <v>270</v>
      </c>
      <c r="K6" s="103">
        <v>2040</v>
      </c>
      <c r="L6" s="103">
        <v>3899</v>
      </c>
      <c r="M6" s="103">
        <v>0</v>
      </c>
      <c r="N6" s="103" t="s">
        <v>270</v>
      </c>
      <c r="O6" s="103" t="s">
        <v>270</v>
      </c>
    </row>
    <row r="7" spans="1:15" ht="12.75">
      <c r="A7" s="5">
        <v>1992</v>
      </c>
      <c r="B7" s="90"/>
      <c r="C7" s="103">
        <v>578</v>
      </c>
      <c r="D7" s="103" t="s">
        <v>270</v>
      </c>
      <c r="E7" s="103" t="s">
        <v>270</v>
      </c>
      <c r="F7" s="103" t="s">
        <v>270</v>
      </c>
      <c r="G7" s="103">
        <v>907</v>
      </c>
      <c r="H7" s="103">
        <v>766</v>
      </c>
      <c r="I7" s="103">
        <v>313</v>
      </c>
      <c r="J7" s="103" t="s">
        <v>270</v>
      </c>
      <c r="K7" s="103">
        <v>2192</v>
      </c>
      <c r="L7" s="103">
        <v>3899</v>
      </c>
      <c r="M7" s="103">
        <v>0</v>
      </c>
      <c r="N7" s="103" t="s">
        <v>270</v>
      </c>
      <c r="O7" s="103">
        <v>1947</v>
      </c>
    </row>
    <row r="8" spans="1:15" ht="12.75">
      <c r="A8" s="5">
        <v>1993</v>
      </c>
      <c r="B8" s="90">
        <f>+E8+G8+H8+I8+K8</f>
        <v>4688</v>
      </c>
      <c r="C8" s="103">
        <v>578</v>
      </c>
      <c r="D8" s="103" t="s">
        <v>270</v>
      </c>
      <c r="E8" s="103">
        <v>581</v>
      </c>
      <c r="F8" s="103" t="s">
        <v>270</v>
      </c>
      <c r="G8" s="103">
        <v>847</v>
      </c>
      <c r="H8" s="103">
        <v>755</v>
      </c>
      <c r="I8" s="103">
        <v>313</v>
      </c>
      <c r="J8" s="103" t="s">
        <v>270</v>
      </c>
      <c r="K8" s="103">
        <v>2192</v>
      </c>
      <c r="L8" s="103">
        <v>3535</v>
      </c>
      <c r="M8" s="103">
        <v>0</v>
      </c>
      <c r="N8" s="103" t="s">
        <v>270</v>
      </c>
      <c r="O8" s="103">
        <v>1126</v>
      </c>
    </row>
    <row r="9" spans="1:15" ht="12.75">
      <c r="A9" s="5">
        <v>1994</v>
      </c>
      <c r="B9" s="90">
        <f aca="true" t="shared" si="0" ref="B9:B14">+E9+G9+H9+I9+K9</f>
        <v>4872</v>
      </c>
      <c r="C9" s="103">
        <v>578</v>
      </c>
      <c r="D9" s="103" t="s">
        <v>270</v>
      </c>
      <c r="E9" s="103">
        <v>581</v>
      </c>
      <c r="F9" s="103" t="s">
        <v>270</v>
      </c>
      <c r="G9" s="103">
        <v>847</v>
      </c>
      <c r="H9" s="103">
        <v>766</v>
      </c>
      <c r="I9" s="103">
        <v>400</v>
      </c>
      <c r="J9" s="103" t="s">
        <v>270</v>
      </c>
      <c r="K9" s="103">
        <v>2278</v>
      </c>
      <c r="L9" s="103">
        <v>3535</v>
      </c>
      <c r="M9" s="103">
        <v>0</v>
      </c>
      <c r="N9" s="103" t="s">
        <v>270</v>
      </c>
      <c r="O9" s="103">
        <v>1126</v>
      </c>
    </row>
    <row r="10" spans="1:15" ht="12.75">
      <c r="A10" s="5">
        <v>1995</v>
      </c>
      <c r="B10" s="90">
        <f t="shared" si="0"/>
        <v>4872</v>
      </c>
      <c r="C10" s="103">
        <v>578</v>
      </c>
      <c r="D10" s="103" t="s">
        <v>270</v>
      </c>
      <c r="E10" s="103">
        <v>581</v>
      </c>
      <c r="F10" s="103" t="s">
        <v>270</v>
      </c>
      <c r="G10" s="103">
        <v>847</v>
      </c>
      <c r="H10" s="103">
        <v>766</v>
      </c>
      <c r="I10" s="103">
        <v>400</v>
      </c>
      <c r="J10" s="103" t="s">
        <v>270</v>
      </c>
      <c r="K10" s="103">
        <v>2278</v>
      </c>
      <c r="L10" s="103">
        <v>3546</v>
      </c>
      <c r="M10" s="103">
        <v>0</v>
      </c>
      <c r="N10" s="103" t="s">
        <v>270</v>
      </c>
      <c r="O10" s="103">
        <v>1126</v>
      </c>
    </row>
    <row r="11" spans="1:15" ht="12.75">
      <c r="A11" s="5">
        <v>1996</v>
      </c>
      <c r="B11" s="90">
        <f t="shared" si="0"/>
        <v>5026</v>
      </c>
      <c r="C11" s="103">
        <v>578</v>
      </c>
      <c r="D11" s="103">
        <v>0</v>
      </c>
      <c r="E11" s="103">
        <v>736</v>
      </c>
      <c r="F11" s="103">
        <v>0</v>
      </c>
      <c r="G11" s="103">
        <v>847</v>
      </c>
      <c r="H11" s="103">
        <v>766</v>
      </c>
      <c r="I11" s="103">
        <v>399</v>
      </c>
      <c r="J11" s="103">
        <v>0</v>
      </c>
      <c r="K11" s="103">
        <v>2278</v>
      </c>
      <c r="L11" s="103">
        <v>3546</v>
      </c>
      <c r="M11" s="103">
        <v>0</v>
      </c>
      <c r="N11" s="103">
        <v>0</v>
      </c>
      <c r="O11" s="103">
        <v>2112</v>
      </c>
    </row>
    <row r="12" spans="1:15" ht="12.75">
      <c r="A12" s="5">
        <v>1997</v>
      </c>
      <c r="B12" s="90">
        <f t="shared" si="0"/>
        <v>5027</v>
      </c>
      <c r="C12" s="103">
        <v>578</v>
      </c>
      <c r="D12" s="103">
        <v>0</v>
      </c>
      <c r="E12" s="103">
        <v>736</v>
      </c>
      <c r="F12" s="103">
        <v>0</v>
      </c>
      <c r="G12" s="103">
        <v>848</v>
      </c>
      <c r="H12" s="103">
        <v>766</v>
      </c>
      <c r="I12" s="103">
        <v>399</v>
      </c>
      <c r="J12" s="103">
        <v>0</v>
      </c>
      <c r="K12" s="103">
        <v>2278</v>
      </c>
      <c r="L12" s="103">
        <v>4629</v>
      </c>
      <c r="M12" s="103">
        <v>0</v>
      </c>
      <c r="N12" s="103">
        <v>0</v>
      </c>
      <c r="O12" s="103">
        <v>2112</v>
      </c>
    </row>
    <row r="13" spans="1:15" ht="12.75">
      <c r="A13" s="5">
        <v>1998</v>
      </c>
      <c r="B13" s="90">
        <f t="shared" si="0"/>
        <v>5027</v>
      </c>
      <c r="C13" s="103">
        <v>578</v>
      </c>
      <c r="D13" s="103">
        <v>0</v>
      </c>
      <c r="E13" s="103">
        <v>736</v>
      </c>
      <c r="F13" s="103">
        <v>0</v>
      </c>
      <c r="G13" s="103">
        <v>848</v>
      </c>
      <c r="H13" s="103">
        <v>766</v>
      </c>
      <c r="I13" s="103">
        <v>399</v>
      </c>
      <c r="J13" s="103">
        <v>0</v>
      </c>
      <c r="K13" s="103">
        <v>2278</v>
      </c>
      <c r="L13" s="103">
        <v>4629</v>
      </c>
      <c r="M13" s="103">
        <v>0</v>
      </c>
      <c r="N13" s="103">
        <v>0</v>
      </c>
      <c r="O13" s="103">
        <v>2112</v>
      </c>
    </row>
    <row r="14" spans="1:15" ht="12.75">
      <c r="A14" s="5">
        <v>1999</v>
      </c>
      <c r="B14" s="90">
        <f t="shared" si="0"/>
        <v>5128</v>
      </c>
      <c r="C14" s="103">
        <v>578</v>
      </c>
      <c r="D14" s="103">
        <v>0</v>
      </c>
      <c r="E14" s="103">
        <v>736</v>
      </c>
      <c r="F14" s="103">
        <v>0</v>
      </c>
      <c r="G14" s="103">
        <v>848</v>
      </c>
      <c r="H14" s="103">
        <v>766</v>
      </c>
      <c r="I14" s="103">
        <v>500</v>
      </c>
      <c r="J14" s="103">
        <v>0</v>
      </c>
      <c r="K14" s="103">
        <v>2278</v>
      </c>
      <c r="L14" s="103">
        <v>4423</v>
      </c>
      <c r="M14" s="103">
        <v>0</v>
      </c>
      <c r="N14" s="103">
        <v>0</v>
      </c>
      <c r="O14" s="103">
        <v>2112</v>
      </c>
    </row>
    <row r="15" spans="1:15" ht="12.75">
      <c r="A15" s="5">
        <v>2000</v>
      </c>
      <c r="B15" s="90">
        <f>+E15+G15+H15+I15+K15</f>
        <v>5128</v>
      </c>
      <c r="C15" s="103">
        <v>578</v>
      </c>
      <c r="D15" s="103">
        <v>0</v>
      </c>
      <c r="E15" s="103">
        <v>736</v>
      </c>
      <c r="F15" s="103">
        <v>0</v>
      </c>
      <c r="G15" s="103">
        <v>848</v>
      </c>
      <c r="H15" s="103">
        <v>766</v>
      </c>
      <c r="I15" s="103">
        <v>500</v>
      </c>
      <c r="J15" s="103">
        <v>0</v>
      </c>
      <c r="K15" s="103">
        <v>2278</v>
      </c>
      <c r="L15" s="103">
        <v>4423</v>
      </c>
      <c r="M15" s="103">
        <v>0</v>
      </c>
      <c r="N15" s="103">
        <v>0</v>
      </c>
      <c r="O15" s="103">
        <v>2112</v>
      </c>
    </row>
    <row r="16" spans="1:15" ht="12.75">
      <c r="A16" s="5">
        <v>2001</v>
      </c>
      <c r="B16" s="90"/>
      <c r="C16" s="103" t="s">
        <v>270</v>
      </c>
      <c r="D16" s="103" t="s">
        <v>270</v>
      </c>
      <c r="E16" s="103">
        <v>736</v>
      </c>
      <c r="F16" s="103" t="s">
        <v>270</v>
      </c>
      <c r="G16" s="103" t="s">
        <v>270</v>
      </c>
      <c r="H16" s="103">
        <v>766</v>
      </c>
      <c r="I16" s="103">
        <v>500</v>
      </c>
      <c r="J16" s="103" t="s">
        <v>270</v>
      </c>
      <c r="K16" s="103" t="s">
        <v>270</v>
      </c>
      <c r="L16" s="103" t="s">
        <v>270</v>
      </c>
      <c r="M16" s="103" t="s">
        <v>270</v>
      </c>
      <c r="N16" s="103" t="s">
        <v>270</v>
      </c>
      <c r="O16" s="103" t="s">
        <v>270</v>
      </c>
    </row>
    <row r="17" spans="3:16" ht="12.75">
      <c r="C17" s="103"/>
      <c r="D17" s="103"/>
      <c r="E17" s="103"/>
      <c r="F17" s="103"/>
      <c r="G17" s="103"/>
      <c r="H17" s="103"/>
      <c r="I17" s="103"/>
      <c r="J17" s="103"/>
      <c r="K17" s="103"/>
      <c r="L17" s="103"/>
      <c r="M17" s="103"/>
      <c r="N17" s="103"/>
      <c r="O17" s="103"/>
      <c r="P17" s="103"/>
    </row>
    <row r="18" spans="2:3" ht="12.75">
      <c r="B18" s="1" t="s">
        <v>277</v>
      </c>
      <c r="C18" s="103"/>
    </row>
    <row r="19" spans="1:3" ht="12.75">
      <c r="A19" s="1" t="s">
        <v>273</v>
      </c>
      <c r="C19" s="103"/>
    </row>
    <row r="20" ht="12.75">
      <c r="C20" s="103"/>
    </row>
    <row r="21" ht="12.75">
      <c r="C21" s="103"/>
    </row>
    <row r="22" ht="12.75">
      <c r="C22" s="103"/>
    </row>
    <row r="23" ht="12.75">
      <c r="C23" s="103"/>
    </row>
    <row r="24" ht="12.75">
      <c r="C24" s="103"/>
    </row>
    <row r="25" ht="12.75">
      <c r="C25" s="103"/>
    </row>
    <row r="26" ht="12.75">
      <c r="C26" s="103"/>
    </row>
    <row r="27" ht="12.75">
      <c r="C27" s="103"/>
    </row>
    <row r="28" ht="12.75">
      <c r="C28" s="103"/>
    </row>
    <row r="29" ht="12.75">
      <c r="C29" s="103"/>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AF9"/>
  <sheetViews>
    <sheetView workbookViewId="0" topLeftCell="A1">
      <selection activeCell="A4" sqref="A4:O5"/>
    </sheetView>
  </sheetViews>
  <sheetFormatPr defaultColWidth="9.00390625" defaultRowHeight="12.75"/>
  <cols>
    <col min="1" max="1" width="9.25390625" style="1" customWidth="1"/>
    <col min="2" max="2" width="10.75390625" style="1" customWidth="1"/>
    <col min="3" max="16" width="9.25390625" style="1" customWidth="1"/>
    <col min="17" max="17" width="10.375" style="1" bestFit="1" customWidth="1"/>
    <col min="18" max="16384" width="9.25390625" style="1" customWidth="1"/>
  </cols>
  <sheetData>
    <row r="1" ht="11.25">
      <c r="A1" s="3" t="s">
        <v>213</v>
      </c>
    </row>
    <row r="2" ht="11.25">
      <c r="A2" s="22" t="s">
        <v>205</v>
      </c>
    </row>
    <row r="4" spans="2:32" ht="11.25">
      <c r="B4" s="19" t="s">
        <v>28</v>
      </c>
      <c r="C4" s="20" t="s">
        <v>0</v>
      </c>
      <c r="D4" s="20" t="s">
        <v>29</v>
      </c>
      <c r="E4" s="20" t="s">
        <v>1</v>
      </c>
      <c r="F4" s="20" t="s">
        <v>2</v>
      </c>
      <c r="G4" s="20" t="s">
        <v>3</v>
      </c>
      <c r="H4" s="20" t="s">
        <v>4</v>
      </c>
      <c r="I4" s="20" t="s">
        <v>5</v>
      </c>
      <c r="J4" s="20" t="s">
        <v>30</v>
      </c>
      <c r="K4" s="20" t="s">
        <v>6</v>
      </c>
      <c r="L4" s="20" t="s">
        <v>7</v>
      </c>
      <c r="M4" s="20" t="s">
        <v>8</v>
      </c>
      <c r="N4" s="20" t="s">
        <v>9</v>
      </c>
      <c r="O4" s="21" t="s">
        <v>31</v>
      </c>
      <c r="P4" s="21" t="s">
        <v>175</v>
      </c>
      <c r="Q4" s="21" t="s">
        <v>68</v>
      </c>
      <c r="R4" s="29" t="s">
        <v>49</v>
      </c>
      <c r="S4" s="29" t="s">
        <v>50</v>
      </c>
      <c r="T4" s="29" t="s">
        <v>51</v>
      </c>
      <c r="U4" s="29" t="s">
        <v>52</v>
      </c>
      <c r="V4" s="29" t="s">
        <v>53</v>
      </c>
      <c r="W4" s="29" t="s">
        <v>54</v>
      </c>
      <c r="X4" s="29" t="s">
        <v>55</v>
      </c>
      <c r="Y4" s="29" t="s">
        <v>56</v>
      </c>
      <c r="Z4" s="29" t="s">
        <v>57</v>
      </c>
      <c r="AA4" s="29" t="s">
        <v>58</v>
      </c>
      <c r="AB4" s="29" t="s">
        <v>59</v>
      </c>
      <c r="AC4" s="29" t="s">
        <v>60</v>
      </c>
      <c r="AD4" s="29" t="s">
        <v>61</v>
      </c>
      <c r="AE4" s="29" t="s">
        <v>62</v>
      </c>
      <c r="AF4" s="29" t="s">
        <v>63</v>
      </c>
    </row>
    <row r="5" spans="1:32" ht="11.25">
      <c r="A5" s="1">
        <v>2001</v>
      </c>
      <c r="B5" s="90">
        <f>SUM(C5:O5)</f>
        <v>1862756</v>
      </c>
      <c r="C5" s="90">
        <v>110994</v>
      </c>
      <c r="D5" s="90">
        <v>9251</v>
      </c>
      <c r="E5" s="90">
        <v>78866</v>
      </c>
      <c r="F5" s="90">
        <v>45227</v>
      </c>
      <c r="G5" s="90">
        <v>93030</v>
      </c>
      <c r="H5" s="90">
        <v>64589</v>
      </c>
      <c r="I5" s="90">
        <v>65300</v>
      </c>
      <c r="J5" s="90">
        <v>316</v>
      </c>
      <c r="K5" s="90">
        <v>312685</v>
      </c>
      <c r="L5" s="90">
        <v>238391</v>
      </c>
      <c r="M5" s="90">
        <v>49036</v>
      </c>
      <c r="N5" s="90">
        <v>20256</v>
      </c>
      <c r="O5" s="90">
        <v>774815</v>
      </c>
      <c r="P5" s="90">
        <f>C5+SUM(E5:I5)+SUM(K5:N5)</f>
        <v>1078374</v>
      </c>
      <c r="Q5" s="24">
        <f>SUM(R5:AF5)</f>
        <v>3242645</v>
      </c>
      <c r="R5" s="24">
        <v>83858</v>
      </c>
      <c r="S5" s="24">
        <v>30528</v>
      </c>
      <c r="T5" s="24">
        <v>43094</v>
      </c>
      <c r="U5" s="24">
        <v>338145</v>
      </c>
      <c r="V5" s="24">
        <v>551500</v>
      </c>
      <c r="W5" s="24">
        <v>357022</v>
      </c>
      <c r="X5" s="24">
        <v>131957</v>
      </c>
      <c r="Y5" s="24">
        <v>70273</v>
      </c>
      <c r="Z5" s="24">
        <v>301318</v>
      </c>
      <c r="AA5" s="24">
        <v>2586</v>
      </c>
      <c r="AB5" s="24">
        <v>41526</v>
      </c>
      <c r="AC5" s="24">
        <v>91982</v>
      </c>
      <c r="AD5" s="24">
        <v>505992</v>
      </c>
      <c r="AE5" s="24">
        <v>449964</v>
      </c>
      <c r="AF5" s="24">
        <v>242900</v>
      </c>
    </row>
    <row r="7" spans="1:3" ht="12.75">
      <c r="A7" s="1" t="s">
        <v>78</v>
      </c>
      <c r="B7" s="1" t="s">
        <v>249</v>
      </c>
      <c r="C7" s="44" t="s">
        <v>37</v>
      </c>
    </row>
    <row r="9" spans="1:2" ht="11.25">
      <c r="A9" s="1" t="s">
        <v>208</v>
      </c>
      <c r="B9" s="1" t="s">
        <v>248</v>
      </c>
    </row>
  </sheetData>
  <hyperlinks>
    <hyperlink ref="C7" r:id="rId1" display="http://www.unece.org/stats/trend_h.htm"/>
  </hyperlinks>
  <printOptions/>
  <pageMargins left="0.75" right="0.75" top="1" bottom="1" header="0.5" footer="0.5"/>
  <pageSetup horizontalDpi="600" verticalDpi="600" orientation="portrait" paperSize="9" r:id="rId2"/>
</worksheet>
</file>

<file path=xl/worksheets/sheet16.xml><?xml version="1.0" encoding="utf-8"?>
<worksheet xmlns="http://schemas.openxmlformats.org/spreadsheetml/2006/main" xmlns:r="http://schemas.openxmlformats.org/officeDocument/2006/relationships">
  <dimension ref="A1:R76"/>
  <sheetViews>
    <sheetView workbookViewId="0" topLeftCell="A40">
      <selection activeCell="B47" sqref="B47"/>
    </sheetView>
  </sheetViews>
  <sheetFormatPr defaultColWidth="9.25390625" defaultRowHeight="12.75"/>
  <cols>
    <col min="1" max="17" width="8.125" style="1" customWidth="1"/>
    <col min="18" max="16384" width="9.25390625" style="1" customWidth="1"/>
  </cols>
  <sheetData>
    <row r="1" ht="11.25">
      <c r="A1" s="3" t="s">
        <v>87</v>
      </c>
    </row>
    <row r="2" spans="1:13" ht="11.25">
      <c r="A2" s="23" t="s">
        <v>27</v>
      </c>
      <c r="M2" s="23"/>
    </row>
    <row r="3" spans="1:13" ht="11.25">
      <c r="A3" s="23"/>
      <c r="M3" s="23"/>
    </row>
    <row r="4" ht="11.25">
      <c r="A4" s="3" t="s">
        <v>80</v>
      </c>
    </row>
    <row r="5" spans="2:17" ht="11.25">
      <c r="B5" s="29" t="s">
        <v>68</v>
      </c>
      <c r="C5" s="29" t="s">
        <v>49</v>
      </c>
      <c r="D5" s="29" t="s">
        <v>50</v>
      </c>
      <c r="E5" s="29" t="s">
        <v>51</v>
      </c>
      <c r="F5" s="29" t="s">
        <v>52</v>
      </c>
      <c r="G5" s="29" t="s">
        <v>53</v>
      </c>
      <c r="H5" s="29" t="s">
        <v>54</v>
      </c>
      <c r="I5" s="29" t="s">
        <v>55</v>
      </c>
      <c r="J5" s="29" t="s">
        <v>56</v>
      </c>
      <c r="K5" s="29" t="s">
        <v>57</v>
      </c>
      <c r="L5" s="29" t="s">
        <v>58</v>
      </c>
      <c r="M5" s="29" t="s">
        <v>59</v>
      </c>
      <c r="N5" s="29" t="s">
        <v>60</v>
      </c>
      <c r="O5" s="29" t="s">
        <v>61</v>
      </c>
      <c r="P5" s="29" t="s">
        <v>62</v>
      </c>
      <c r="Q5" s="29" t="s">
        <v>63</v>
      </c>
    </row>
    <row r="6" spans="1:17" ht="11.25">
      <c r="A6" s="1">
        <v>1990</v>
      </c>
      <c r="B6" s="90">
        <f>SUM(C6:Q6)</f>
        <v>3638189</v>
      </c>
      <c r="C6" s="97">
        <f>+C9</f>
        <v>106274</v>
      </c>
      <c r="D6" s="90">
        <f>+'basedata_EU-infra'!D6</f>
        <v>140241</v>
      </c>
      <c r="E6" s="90">
        <f>+'basedata_EU-infra'!E6</f>
        <v>70922</v>
      </c>
      <c r="F6" s="90">
        <f>+'basedata_EU-infra'!F6</f>
        <v>77080</v>
      </c>
      <c r="G6" s="90">
        <f>+'basedata_EU-infra'!G6</f>
        <v>808098</v>
      </c>
      <c r="H6" s="97">
        <f>+H7</f>
        <v>636272</v>
      </c>
      <c r="I6" s="90">
        <f>+'basedata_EU-infra'!I6</f>
        <v>38312</v>
      </c>
      <c r="J6" s="90">
        <f>+'basedata_EU-infra'!J6</f>
        <v>92289</v>
      </c>
      <c r="K6" s="90">
        <f>+'basedata_EU-infra'!K6</f>
        <v>821185</v>
      </c>
      <c r="L6" s="90">
        <f>+'basedata_EU-infra'!L6</f>
        <v>5091</v>
      </c>
      <c r="M6" s="90">
        <f>+'basedata_EU-infra'!M6</f>
        <v>103845</v>
      </c>
      <c r="N6" s="90">
        <f>+'basedata_EU-infra'!N6</f>
        <v>61538</v>
      </c>
      <c r="O6" s="90">
        <f>+'basedata_EU-infra'!O6</f>
        <v>161369</v>
      </c>
      <c r="P6" s="90">
        <f>+'basedata_EU-infra'!P6</f>
        <v>133558</v>
      </c>
      <c r="Q6" s="90">
        <f>+'basedata_EU-infra'!Q6</f>
        <v>382115</v>
      </c>
    </row>
    <row r="7" spans="1:17" ht="11.25">
      <c r="A7" s="1">
        <v>1991</v>
      </c>
      <c r="B7" s="90" t="e">
        <f aca="true" t="shared" si="0" ref="B7:B13">SUM(C7:Q7)</f>
        <v>#N/A</v>
      </c>
      <c r="C7" s="90" t="e">
        <f>+'basedata_EU-infra'!C7</f>
        <v>#N/A</v>
      </c>
      <c r="D7" s="90">
        <f>+'basedata_EU-infra'!D7</f>
        <v>140822</v>
      </c>
      <c r="E7" s="90">
        <f>+'basedata_EU-infra'!E7</f>
        <v>71042</v>
      </c>
      <c r="F7" s="90">
        <f>+'basedata_EU-infra'!F7</f>
        <v>77283</v>
      </c>
      <c r="G7" s="90">
        <f>+'basedata_EU-infra'!G7</f>
        <v>888440</v>
      </c>
      <c r="H7" s="90">
        <f>+'basedata_EU-infra'!H7</f>
        <v>636272</v>
      </c>
      <c r="I7" s="90">
        <f>+'basedata_EU-infra'!I7</f>
        <v>38606</v>
      </c>
      <c r="J7" s="90">
        <f>+'basedata_EU-infra'!J7</f>
        <v>92327</v>
      </c>
      <c r="K7" s="90" t="e">
        <f>+'basedata_EU-infra'!K7</f>
        <v>#N/A</v>
      </c>
      <c r="L7" s="90">
        <f>+'basedata_EU-infra'!L7</f>
        <v>5108</v>
      </c>
      <c r="M7" s="90">
        <f>+'basedata_EU-infra'!M7</f>
        <v>104831</v>
      </c>
      <c r="N7" s="90">
        <f>+'basedata_EU-infra'!N7</f>
        <v>59863</v>
      </c>
      <c r="O7" s="90">
        <f>+'basedata_EU-infra'!O7</f>
        <v>162704</v>
      </c>
      <c r="P7" s="90">
        <f>+'basedata_EU-infra'!P7</f>
        <v>135859</v>
      </c>
      <c r="Q7" s="90">
        <f>+'basedata_EU-infra'!Q7</f>
        <v>384205</v>
      </c>
    </row>
    <row r="8" spans="1:17" ht="11.25">
      <c r="A8" s="1">
        <v>1992</v>
      </c>
      <c r="B8" s="90" t="e">
        <f t="shared" si="0"/>
        <v>#N/A</v>
      </c>
      <c r="C8" s="90" t="e">
        <f>+'basedata_EU-infra'!C8</f>
        <v>#N/A</v>
      </c>
      <c r="D8" s="90">
        <f>+'basedata_EU-infra'!D8</f>
        <v>141629</v>
      </c>
      <c r="E8" s="90">
        <f>+'basedata_EU-infra'!E8</f>
        <v>71040</v>
      </c>
      <c r="F8" s="90">
        <f>+'basedata_EU-infra'!F8</f>
        <v>77409</v>
      </c>
      <c r="G8" s="90">
        <f>+'basedata_EU-infra'!G8</f>
        <v>915651</v>
      </c>
      <c r="H8" s="90">
        <f>+'basedata_EU-infra'!H8</f>
        <v>639805</v>
      </c>
      <c r="I8" s="90">
        <f>+'basedata_EU-infra'!I8</f>
        <v>38606</v>
      </c>
      <c r="J8" s="90">
        <f>+'basedata_EU-infra'!J8</f>
        <v>91504</v>
      </c>
      <c r="K8" s="90" t="e">
        <f>+'basedata_EU-infra'!K8</f>
        <v>#N/A</v>
      </c>
      <c r="L8" s="90">
        <f>+'basedata_EU-infra'!L8</f>
        <v>5113</v>
      </c>
      <c r="M8" s="90">
        <f>+'basedata_EU-infra'!M8</f>
        <v>105817</v>
      </c>
      <c r="N8" s="90">
        <f>+'basedata_EU-infra'!N8</f>
        <v>66095</v>
      </c>
      <c r="O8" s="90">
        <f>+'basedata_EU-infra'!O8</f>
        <v>158049</v>
      </c>
      <c r="P8" s="90">
        <f>+'basedata_EU-infra'!P8</f>
        <v>134962</v>
      </c>
      <c r="Q8" s="90">
        <f>+'basedata_EU-infra'!Q8</f>
        <v>386528</v>
      </c>
    </row>
    <row r="9" spans="1:17" ht="11.25">
      <c r="A9" s="1">
        <v>1993</v>
      </c>
      <c r="B9" s="90" t="e">
        <f t="shared" si="0"/>
        <v>#N/A</v>
      </c>
      <c r="C9" s="90">
        <f>+'basedata_EU-infra'!C9</f>
        <v>106274</v>
      </c>
      <c r="D9" s="90">
        <f>+'basedata_EU-infra'!D9</f>
        <v>142430</v>
      </c>
      <c r="E9" s="90">
        <f>+'basedata_EU-infra'!E9</f>
        <v>71111</v>
      </c>
      <c r="F9" s="90">
        <f>+'basedata_EU-infra'!F9</f>
        <v>77499</v>
      </c>
      <c r="G9" s="90">
        <f>+'basedata_EU-infra'!G9</f>
        <v>915826</v>
      </c>
      <c r="H9" s="90">
        <f>+'basedata_EU-infra'!H9</f>
        <v>645623</v>
      </c>
      <c r="I9" s="90">
        <f>+'basedata_EU-infra'!I9</f>
        <v>38606</v>
      </c>
      <c r="J9" s="90">
        <f>+'basedata_EU-infra'!J9</f>
        <v>91504</v>
      </c>
      <c r="K9" s="90" t="e">
        <f>+'basedata_EU-infra'!K9</f>
        <v>#N/A</v>
      </c>
      <c r="L9" s="90">
        <f>+'basedata_EU-infra'!L9</f>
        <v>5134</v>
      </c>
      <c r="M9" s="90">
        <f>+'basedata_EU-infra'!M9</f>
        <v>105800</v>
      </c>
      <c r="N9" s="90">
        <f>+'basedata_EU-infra'!N9</f>
        <v>67969</v>
      </c>
      <c r="O9" s="90">
        <f>+'basedata_EU-infra'!O9</f>
        <v>159864</v>
      </c>
      <c r="P9" s="90">
        <f>+'basedata_EU-infra'!P9</f>
        <v>134920</v>
      </c>
      <c r="Q9" s="90">
        <f>+'basedata_EU-infra'!Q9</f>
        <v>388451</v>
      </c>
    </row>
    <row r="10" spans="1:17" ht="11.25">
      <c r="A10" s="1">
        <v>1994</v>
      </c>
      <c r="B10" s="90">
        <f t="shared" si="0"/>
        <v>3846329</v>
      </c>
      <c r="C10" s="90">
        <f>+'basedata_EU-infra'!C10</f>
        <v>106268</v>
      </c>
      <c r="D10" s="90">
        <f>+'basedata_EU-infra'!D10</f>
        <v>143175</v>
      </c>
      <c r="E10" s="90">
        <f>+'basedata_EU-infra'!E10</f>
        <v>71255</v>
      </c>
      <c r="F10" s="90">
        <f>+'basedata_EU-infra'!F10</f>
        <v>77644</v>
      </c>
      <c r="G10" s="90">
        <f>+'basedata_EU-infra'!G10</f>
        <v>964613</v>
      </c>
      <c r="H10" s="90">
        <f>+'basedata_EU-infra'!H10</f>
        <v>647027</v>
      </c>
      <c r="I10" s="90">
        <f>+'basedata_EU-infra'!I10</f>
        <v>38606</v>
      </c>
      <c r="J10" s="90">
        <f>+'basedata_EU-infra'!J10</f>
        <v>91504</v>
      </c>
      <c r="K10" s="90">
        <f>+'basedata_EU-infra'!K10</f>
        <v>833643</v>
      </c>
      <c r="L10" s="90">
        <f>+'basedata_EU-infra'!L10</f>
        <v>5136</v>
      </c>
      <c r="M10" s="90">
        <f>+'basedata_EU-infra'!M10</f>
        <v>108967</v>
      </c>
      <c r="N10" s="90">
        <f>+'basedata_EU-infra'!N10</f>
        <v>72206</v>
      </c>
      <c r="O10" s="90">
        <f>+'basedata_EU-infra'!O10</f>
        <v>162196</v>
      </c>
      <c r="P10" s="90">
        <f>+'basedata_EU-infra'!P10</f>
        <v>135014</v>
      </c>
      <c r="Q10" s="90">
        <f>+'basedata_EU-infra'!Q10</f>
        <v>389075</v>
      </c>
    </row>
    <row r="11" spans="1:17" ht="11.25">
      <c r="A11" s="1">
        <v>1995</v>
      </c>
      <c r="B11" s="90">
        <f t="shared" si="0"/>
        <v>3841255</v>
      </c>
      <c r="C11" s="90">
        <f>+'basedata_EU-infra'!C11</f>
        <v>106311</v>
      </c>
      <c r="D11" s="90">
        <f>+'basedata_EU-infra'!D11</f>
        <v>143175</v>
      </c>
      <c r="E11" s="90">
        <f>+'basedata_EU-infra'!E11</f>
        <v>71321</v>
      </c>
      <c r="F11" s="90">
        <f>+'basedata_EU-infra'!F11</f>
        <v>77722</v>
      </c>
      <c r="G11" s="90">
        <f>+'basedata_EU-infra'!G11</f>
        <v>959372</v>
      </c>
      <c r="H11" s="90">
        <f>+'basedata_EU-infra'!H11</f>
        <v>647283</v>
      </c>
      <c r="I11" s="90">
        <f>+'basedata_EU-infra'!I11</f>
        <v>38606</v>
      </c>
      <c r="J11" s="90">
        <f>+'basedata_EU-infra'!J11</f>
        <v>92430</v>
      </c>
      <c r="K11" s="90">
        <f>+'basedata_EU-infra'!K11</f>
        <v>826573</v>
      </c>
      <c r="L11" s="90">
        <f>+'basedata_EU-infra'!L11</f>
        <v>5161</v>
      </c>
      <c r="M11" s="90">
        <f>+'basedata_EU-infra'!M11</f>
        <v>113351</v>
      </c>
      <c r="N11" s="90">
        <f>+'basedata_EU-infra'!N11</f>
        <v>68732</v>
      </c>
      <c r="O11" s="90">
        <f>+'basedata_EU-infra'!O11</f>
        <v>162617</v>
      </c>
      <c r="P11" s="90">
        <f>+'basedata_EU-infra'!P11</f>
        <v>137495</v>
      </c>
      <c r="Q11" s="90">
        <f>+'basedata_EU-infra'!Q11</f>
        <v>391106</v>
      </c>
    </row>
    <row r="12" spans="1:17" ht="11.25">
      <c r="A12" s="1">
        <v>1996</v>
      </c>
      <c r="B12" s="90">
        <f t="shared" si="0"/>
        <v>3861627</v>
      </c>
      <c r="C12" s="90">
        <f>+'basedata_EU-infra'!C12</f>
        <v>106348</v>
      </c>
      <c r="D12" s="90">
        <f>+'basedata_EU-infra'!D12</f>
        <v>143800</v>
      </c>
      <c r="E12" s="90">
        <f>+'basedata_EU-infra'!E12</f>
        <v>71336</v>
      </c>
      <c r="F12" s="90">
        <f>+'basedata_EU-infra'!F12</f>
        <v>77782</v>
      </c>
      <c r="G12" s="90">
        <f>+'basedata_EU-infra'!G12</f>
        <v>969157</v>
      </c>
      <c r="H12" s="90">
        <f>+'basedata_EU-infra'!H12</f>
        <v>649499</v>
      </c>
      <c r="I12" s="90">
        <f>+'basedata_EU-infra'!I12</f>
        <v>38606</v>
      </c>
      <c r="J12" s="90">
        <f>+'basedata_EU-infra'!J12</f>
        <v>92650</v>
      </c>
      <c r="K12" s="90">
        <f>+'basedata_EU-infra'!K12</f>
        <v>830035</v>
      </c>
      <c r="L12" s="90">
        <f>+'basedata_EU-infra'!L12</f>
        <v>5171</v>
      </c>
      <c r="M12" s="90">
        <f>+'basedata_EU-infra'!M12</f>
        <v>115617</v>
      </c>
      <c r="N12" s="90">
        <f>+'basedata_EU-infra'!N12</f>
        <v>68732</v>
      </c>
      <c r="O12" s="90">
        <f>+'basedata_EU-infra'!O12</f>
        <v>162100</v>
      </c>
      <c r="P12" s="90">
        <f>+'basedata_EU-infra'!P12</f>
        <v>137865</v>
      </c>
      <c r="Q12" s="90">
        <f>+'basedata_EU-infra'!Q12</f>
        <v>392929</v>
      </c>
    </row>
    <row r="13" spans="1:17" ht="11.25">
      <c r="A13" s="1">
        <v>1997</v>
      </c>
      <c r="B13" s="90">
        <f t="shared" si="0"/>
        <v>3878171</v>
      </c>
      <c r="C13" s="90">
        <f>+'basedata_EU-infra'!C13</f>
        <v>106352</v>
      </c>
      <c r="D13" s="90">
        <f>+'basedata_EU-infra'!D13</f>
        <v>144914</v>
      </c>
      <c r="E13" s="90">
        <f>+'basedata_EU-infra'!E13</f>
        <v>71437</v>
      </c>
      <c r="F13" s="90">
        <f>+'basedata_EU-infra'!F13</f>
        <v>77796</v>
      </c>
      <c r="G13" s="90">
        <f>+'basedata_EU-infra'!G13</f>
        <v>973510</v>
      </c>
      <c r="H13" s="90">
        <f>+'basedata_EU-infra'!H13</f>
        <v>649497</v>
      </c>
      <c r="I13" s="90">
        <f>+'basedata_EU-infra'!I13</f>
        <v>38606</v>
      </c>
      <c r="J13" s="90">
        <f>+'basedata_EU-infra'!J13</f>
        <v>95838</v>
      </c>
      <c r="K13" s="90">
        <f>+'basedata_EU-infra'!K13</f>
        <v>834747</v>
      </c>
      <c r="L13" s="90">
        <f>+'basedata_EU-infra'!L13</f>
        <v>5179</v>
      </c>
      <c r="M13" s="90">
        <f>+'basedata_EU-infra'!M13</f>
        <v>116093</v>
      </c>
      <c r="N13" s="90">
        <f>+'basedata_EU-infra'!N13</f>
        <v>68770</v>
      </c>
      <c r="O13" s="90">
        <f>+'basedata_EU-infra'!O13</f>
        <v>162795</v>
      </c>
      <c r="P13" s="90">
        <f>+'basedata_EU-infra'!P13</f>
        <v>138307</v>
      </c>
      <c r="Q13" s="90">
        <f>+'basedata_EU-infra'!Q13</f>
        <v>394330</v>
      </c>
    </row>
    <row r="14" spans="1:17" ht="11.25">
      <c r="A14" s="1">
        <v>1998</v>
      </c>
      <c r="B14" s="97">
        <f>SUM(C14:Q14)</f>
        <v>3887638</v>
      </c>
      <c r="C14" s="90">
        <f>+'basedata_EU-infra'!C14</f>
        <v>106361</v>
      </c>
      <c r="D14" s="90">
        <f>+'basedata_EU-infra'!D14</f>
        <v>145850</v>
      </c>
      <c r="E14" s="90">
        <f>+'basedata_EU-infra'!E14</f>
        <v>71462</v>
      </c>
      <c r="F14" s="90">
        <f>+'basedata_EU-infra'!F14</f>
        <v>77894</v>
      </c>
      <c r="G14" s="90">
        <f>+'basedata_EU-infra'!G14</f>
        <v>980367</v>
      </c>
      <c r="H14" s="90">
        <f>+'basedata_EU-infra'!H14</f>
        <v>649088</v>
      </c>
      <c r="I14" s="97">
        <v>38606</v>
      </c>
      <c r="J14" s="90">
        <f>+'basedata_EU-infra'!J14</f>
        <v>95835</v>
      </c>
      <c r="K14" s="97">
        <v>834747</v>
      </c>
      <c r="L14" s="90">
        <f>+'basedata_EU-infra'!L14</f>
        <v>5179</v>
      </c>
      <c r="M14" s="97">
        <v>116093</v>
      </c>
      <c r="N14" s="97">
        <v>68770</v>
      </c>
      <c r="O14" s="90">
        <f>+'basedata_EU-infra'!O14</f>
        <v>163273</v>
      </c>
      <c r="P14" s="90">
        <f>+'basedata_EU-infra'!P14</f>
        <v>138032</v>
      </c>
      <c r="Q14" s="90">
        <f>+'basedata_EU-infra'!Q14</f>
        <v>396081</v>
      </c>
    </row>
    <row r="15" spans="2:16" ht="11.25">
      <c r="B15" s="144"/>
      <c r="C15" s="90"/>
      <c r="D15" s="90"/>
      <c r="E15" s="90"/>
      <c r="F15" s="90"/>
      <c r="G15" s="90"/>
      <c r="H15" s="90"/>
      <c r="I15" s="90"/>
      <c r="J15" s="90"/>
      <c r="K15" s="90"/>
      <c r="L15" s="90"/>
      <c r="M15" s="90"/>
      <c r="N15" s="90"/>
      <c r="O15" s="90"/>
      <c r="P15" s="90"/>
    </row>
    <row r="16" spans="1:16" ht="11.25">
      <c r="A16" s="1" t="s">
        <v>69</v>
      </c>
      <c r="B16" s="1" t="s">
        <v>216</v>
      </c>
      <c r="C16" s="90"/>
      <c r="D16" s="90"/>
      <c r="E16" s="90"/>
      <c r="F16" s="90"/>
      <c r="G16" s="90"/>
      <c r="H16" s="90"/>
      <c r="I16" s="90"/>
      <c r="J16" s="90"/>
      <c r="K16" s="90"/>
      <c r="L16" s="90"/>
      <c r="M16" s="90"/>
      <c r="N16" s="90"/>
      <c r="O16" s="90"/>
      <c r="P16" s="90"/>
    </row>
    <row r="17" spans="3:16" ht="11.25">
      <c r="C17" s="90"/>
      <c r="D17" s="90"/>
      <c r="E17" s="90"/>
      <c r="F17" s="90"/>
      <c r="G17" s="90"/>
      <c r="H17" s="90"/>
      <c r="I17" s="90"/>
      <c r="J17" s="90"/>
      <c r="K17" s="90"/>
      <c r="L17" s="90"/>
      <c r="M17" s="90"/>
      <c r="N17" s="90"/>
      <c r="O17" s="90"/>
      <c r="P17" s="90"/>
    </row>
    <row r="18" spans="3:16" ht="11.25">
      <c r="C18" s="90"/>
      <c r="D18" s="90"/>
      <c r="E18" s="90"/>
      <c r="F18" s="90"/>
      <c r="G18" s="90"/>
      <c r="H18" s="90"/>
      <c r="I18" s="90"/>
      <c r="J18" s="90"/>
      <c r="K18" s="90"/>
      <c r="L18" s="90"/>
      <c r="M18" s="90"/>
      <c r="N18" s="90"/>
      <c r="O18" s="90"/>
      <c r="P18" s="90"/>
    </row>
    <row r="19" ht="11.25">
      <c r="A19" s="3" t="s">
        <v>85</v>
      </c>
    </row>
    <row r="20" spans="2:17" ht="11.25">
      <c r="B20" s="29" t="s">
        <v>68</v>
      </c>
      <c r="C20" s="29" t="s">
        <v>49</v>
      </c>
      <c r="D20" s="29" t="s">
        <v>50</v>
      </c>
      <c r="E20" s="29" t="s">
        <v>51</v>
      </c>
      <c r="F20" s="29" t="s">
        <v>52</v>
      </c>
      <c r="G20" s="29" t="s">
        <v>53</v>
      </c>
      <c r="H20" s="29" t="s">
        <v>54</v>
      </c>
      <c r="I20" s="29" t="s">
        <v>55</v>
      </c>
      <c r="J20" s="29" t="s">
        <v>56</v>
      </c>
      <c r="K20" s="29" t="s">
        <v>57</v>
      </c>
      <c r="L20" s="29" t="s">
        <v>58</v>
      </c>
      <c r="M20" s="29" t="s">
        <v>59</v>
      </c>
      <c r="N20" s="29" t="s">
        <v>60</v>
      </c>
      <c r="O20" s="29" t="s">
        <v>61</v>
      </c>
      <c r="P20" s="29" t="s">
        <v>62</v>
      </c>
      <c r="Q20" s="29" t="s">
        <v>63</v>
      </c>
    </row>
    <row r="21" spans="1:17" ht="11.25">
      <c r="A21" s="1">
        <v>1990</v>
      </c>
      <c r="B21" s="90">
        <f>SUM(C21:Q21)</f>
        <v>159465</v>
      </c>
      <c r="C21" s="90">
        <f>+'basedata_EU-infra'!C55</f>
        <v>5624</v>
      </c>
      <c r="D21" s="90">
        <f>+'basedata_EU-infra'!D55</f>
        <v>3479</v>
      </c>
      <c r="E21" s="90">
        <f>+'basedata_EU-infra'!E55</f>
        <v>2344</v>
      </c>
      <c r="F21" s="90">
        <f>+'basedata_EU-infra'!F55</f>
        <v>5873</v>
      </c>
      <c r="G21" s="90">
        <f>+'basedata_EU-infra'!G55</f>
        <v>34070</v>
      </c>
      <c r="H21" s="97">
        <f>+H22</f>
        <v>41113</v>
      </c>
      <c r="I21" s="90">
        <f>+'basedata_EU-infra'!I55</f>
        <v>2484</v>
      </c>
      <c r="J21" s="90">
        <f>+'basedata_EU-infra'!J55</f>
        <v>1944</v>
      </c>
      <c r="K21" s="90">
        <f>+'basedata_EU-infra'!K55</f>
        <v>16086</v>
      </c>
      <c r="L21" s="90">
        <f>+'basedata_EU-infra'!L55</f>
        <v>271</v>
      </c>
      <c r="M21" s="90">
        <f>+'basedata_EU-infra'!M55</f>
        <v>2780</v>
      </c>
      <c r="N21" s="90">
        <f>+'basedata_EU-infra'!N55</f>
        <v>3127</v>
      </c>
      <c r="O21" s="90">
        <f>+'basedata_EU-infra'!O55</f>
        <v>12560</v>
      </c>
      <c r="P21" s="90">
        <f>+'basedata_EU-infra'!P55</f>
        <v>10801</v>
      </c>
      <c r="Q21" s="97">
        <f>+Q22</f>
        <v>16909</v>
      </c>
    </row>
    <row r="22" spans="1:17" ht="11.25">
      <c r="A22" s="1">
        <v>1991</v>
      </c>
      <c r="B22" s="90">
        <f aca="true" t="shared" si="1" ref="B22:B29">SUM(C22:Q22)</f>
        <v>158978</v>
      </c>
      <c r="C22" s="90">
        <f>+'basedata_EU-infra'!C56</f>
        <v>5624</v>
      </c>
      <c r="D22" s="90">
        <f>+'basedata_EU-infra'!D56</f>
        <v>3466</v>
      </c>
      <c r="E22" s="90">
        <f>+'basedata_EU-infra'!E56</f>
        <v>2344</v>
      </c>
      <c r="F22" s="90">
        <f>+'basedata_EU-infra'!F56</f>
        <v>5874</v>
      </c>
      <c r="G22" s="90">
        <f>+'basedata_EU-infra'!G56</f>
        <v>33446</v>
      </c>
      <c r="H22" s="90">
        <f>+'basedata_EU-infra'!H56</f>
        <v>41113</v>
      </c>
      <c r="I22" s="90">
        <f>+'basedata_EU-infra'!I56</f>
        <v>2484</v>
      </c>
      <c r="J22" s="90">
        <f>+'basedata_EU-infra'!J56</f>
        <v>1944</v>
      </c>
      <c r="K22" s="90">
        <f>+'basedata_EU-infra'!K56</f>
        <v>16066</v>
      </c>
      <c r="L22" s="90">
        <f>+'basedata_EU-infra'!L56</f>
        <v>271</v>
      </c>
      <c r="M22" s="90">
        <f>+'basedata_EU-infra'!M56</f>
        <v>2780</v>
      </c>
      <c r="N22" s="90">
        <f>+'basedata_EU-infra'!N56</f>
        <v>3117</v>
      </c>
      <c r="O22" s="90">
        <f>+'basedata_EU-infra'!O56</f>
        <v>12570</v>
      </c>
      <c r="P22" s="90">
        <f>+'basedata_EU-infra'!P56</f>
        <v>10970</v>
      </c>
      <c r="Q22" s="90">
        <f>+'basedata_EU-infra'!Q56</f>
        <v>16909</v>
      </c>
    </row>
    <row r="23" spans="1:17" ht="11.25">
      <c r="A23" s="1">
        <v>1992</v>
      </c>
      <c r="B23" s="90">
        <f t="shared" si="1"/>
        <v>157088</v>
      </c>
      <c r="C23" s="90">
        <f>+'basedata_EU-infra'!C57</f>
        <v>5605</v>
      </c>
      <c r="D23" s="90">
        <f>+'basedata_EU-infra'!D57</f>
        <v>3432</v>
      </c>
      <c r="E23" s="90">
        <f>+'basedata_EU-infra'!E57</f>
        <v>2344</v>
      </c>
      <c r="F23" s="90">
        <f>+'basedata_EU-infra'!F57</f>
        <v>5874</v>
      </c>
      <c r="G23" s="90">
        <f>+'basedata_EU-infra'!G57</f>
        <v>32731</v>
      </c>
      <c r="H23" s="90">
        <f>+'basedata_EU-infra'!H57</f>
        <v>40815</v>
      </c>
      <c r="I23" s="90">
        <f>+'basedata_EU-infra'!I57</f>
        <v>2484</v>
      </c>
      <c r="J23" s="90">
        <f>+'basedata_EU-infra'!J57</f>
        <v>1944</v>
      </c>
      <c r="K23" s="90">
        <f>+'basedata_EU-infra'!K57</f>
        <v>16112</v>
      </c>
      <c r="L23" s="90">
        <f>+'basedata_EU-infra'!L57</f>
        <v>275</v>
      </c>
      <c r="M23" s="90">
        <f>+'basedata_EU-infra'!M57</f>
        <v>2753</v>
      </c>
      <c r="N23" s="90">
        <f>+'basedata_EU-infra'!N57</f>
        <v>3054</v>
      </c>
      <c r="O23" s="90">
        <f>+'basedata_EU-infra'!O57</f>
        <v>13041</v>
      </c>
      <c r="P23" s="90">
        <f>+'basedata_EU-infra'!P57</f>
        <v>9781</v>
      </c>
      <c r="Q23" s="90">
        <f>+'basedata_EU-infra'!Q57</f>
        <v>16843</v>
      </c>
    </row>
    <row r="24" spans="1:17" ht="11.25">
      <c r="A24" s="1">
        <v>1993</v>
      </c>
      <c r="B24" s="90">
        <f t="shared" si="1"/>
        <v>155858</v>
      </c>
      <c r="C24" s="90">
        <f>+'basedata_EU-infra'!C58</f>
        <v>5600</v>
      </c>
      <c r="D24" s="90">
        <f>+'basedata_EU-infra'!D58</f>
        <v>3410</v>
      </c>
      <c r="E24" s="90">
        <f>+'basedata_EU-infra'!E58</f>
        <v>2349</v>
      </c>
      <c r="F24" s="90">
        <f>+'basedata_EU-infra'!F58</f>
        <v>5864</v>
      </c>
      <c r="G24" s="90">
        <f>+'basedata_EU-infra'!G58</f>
        <v>32579</v>
      </c>
      <c r="H24" s="90">
        <f>+'basedata_EU-infra'!H58</f>
        <v>40397</v>
      </c>
      <c r="I24" s="90">
        <f>+'basedata_EU-infra'!I58</f>
        <v>2474</v>
      </c>
      <c r="J24" s="90">
        <f>+'basedata_EU-infra'!J58</f>
        <v>1947</v>
      </c>
      <c r="K24" s="90">
        <f>+'basedata_EU-infra'!K58</f>
        <v>15942</v>
      </c>
      <c r="L24" s="90">
        <f>+'basedata_EU-infra'!L58</f>
        <v>275</v>
      </c>
      <c r="M24" s="90">
        <f>+'basedata_EU-infra'!M58</f>
        <v>2757</v>
      </c>
      <c r="N24" s="90">
        <f>+'basedata_EU-infra'!N58</f>
        <v>3063</v>
      </c>
      <c r="O24" s="90">
        <f>+'basedata_EU-infra'!O58</f>
        <v>12601</v>
      </c>
      <c r="P24" s="90">
        <f>+'basedata_EU-infra'!P58</f>
        <v>9746</v>
      </c>
      <c r="Q24" s="90">
        <f>+'basedata_EU-infra'!Q58</f>
        <v>16854</v>
      </c>
    </row>
    <row r="25" spans="1:17" ht="11.25">
      <c r="A25" s="1">
        <v>1994</v>
      </c>
      <c r="B25" s="90">
        <f t="shared" si="1"/>
        <v>156695</v>
      </c>
      <c r="C25" s="90">
        <f>+'basedata_EU-infra'!C59</f>
        <v>5636</v>
      </c>
      <c r="D25" s="90">
        <f>+'basedata_EU-infra'!D59</f>
        <v>3396</v>
      </c>
      <c r="E25" s="90">
        <f>+'basedata_EU-infra'!E59</f>
        <v>2349</v>
      </c>
      <c r="F25" s="90">
        <f>+'basedata_EU-infra'!F59</f>
        <v>5859</v>
      </c>
      <c r="G25" s="90">
        <f>+'basedata_EU-infra'!G59</f>
        <v>32275</v>
      </c>
      <c r="H25" s="90">
        <f>+'basedata_EU-infra'!H59</f>
        <v>41257</v>
      </c>
      <c r="I25" s="90">
        <f>+'basedata_EU-infra'!I59</f>
        <v>2474</v>
      </c>
      <c r="J25" s="90">
        <f>+'basedata_EU-infra'!J59</f>
        <v>1947</v>
      </c>
      <c r="K25" s="90">
        <f>+'basedata_EU-infra'!K59</f>
        <v>16002</v>
      </c>
      <c r="L25" s="90">
        <f>+'basedata_EU-infra'!L59</f>
        <v>275</v>
      </c>
      <c r="M25" s="90">
        <f>+'basedata_EU-infra'!M59</f>
        <v>2757</v>
      </c>
      <c r="N25" s="90">
        <f>+'basedata_EU-infra'!N59</f>
        <v>3070</v>
      </c>
      <c r="O25" s="90">
        <f>+'basedata_EU-infra'!O59</f>
        <v>12646</v>
      </c>
      <c r="P25" s="90">
        <f>+'basedata_EU-infra'!P59</f>
        <v>9661</v>
      </c>
      <c r="Q25" s="90">
        <f>+'basedata_EU-infra'!Q59</f>
        <v>17091</v>
      </c>
    </row>
    <row r="26" spans="1:17" ht="11.25">
      <c r="A26" s="1">
        <v>1995</v>
      </c>
      <c r="B26" s="90">
        <f t="shared" si="1"/>
        <v>156469</v>
      </c>
      <c r="C26" s="90">
        <f>+'basedata_EU-infra'!C60</f>
        <v>5672</v>
      </c>
      <c r="D26" s="90">
        <f>+'basedata_EU-infra'!D60</f>
        <v>3368</v>
      </c>
      <c r="E26" s="90">
        <f>+'basedata_EU-infra'!E60</f>
        <v>2349</v>
      </c>
      <c r="F26" s="90">
        <f>+'basedata_EU-infra'!F60</f>
        <v>5859</v>
      </c>
      <c r="G26" s="90">
        <f>+'basedata_EU-infra'!G60</f>
        <v>31939</v>
      </c>
      <c r="H26" s="90">
        <f>+'basedata_EU-infra'!H60</f>
        <v>41718</v>
      </c>
      <c r="I26" s="90">
        <f>+'basedata_EU-infra'!I60</f>
        <v>2474</v>
      </c>
      <c r="J26" s="90">
        <f>+'basedata_EU-infra'!J60</f>
        <v>1945</v>
      </c>
      <c r="K26" s="90">
        <f>+'basedata_EU-infra'!K60</f>
        <v>16005</v>
      </c>
      <c r="L26" s="90">
        <f>+'basedata_EU-infra'!L60</f>
        <v>275</v>
      </c>
      <c r="M26" s="90">
        <f>+'basedata_EU-infra'!M60</f>
        <v>2739</v>
      </c>
      <c r="N26" s="90">
        <f>+'basedata_EU-infra'!N60</f>
        <v>3065</v>
      </c>
      <c r="O26" s="90">
        <f>+'basedata_EU-infra'!O60</f>
        <v>12280</v>
      </c>
      <c r="P26" s="90">
        <f>+'basedata_EU-infra'!P60</f>
        <v>9782</v>
      </c>
      <c r="Q26" s="90">
        <f>+'basedata_EU-infra'!Q60</f>
        <v>16999</v>
      </c>
    </row>
    <row r="27" spans="1:17" ht="11.25">
      <c r="A27" s="1">
        <v>1996</v>
      </c>
      <c r="B27" s="90">
        <f t="shared" si="1"/>
        <v>155645</v>
      </c>
      <c r="C27" s="90">
        <f>+'basedata_EU-infra'!C61</f>
        <v>5672</v>
      </c>
      <c r="D27" s="90">
        <f>+'basedata_EU-infra'!D61</f>
        <v>3380</v>
      </c>
      <c r="E27" s="90">
        <f>+'basedata_EU-infra'!E61</f>
        <v>2349</v>
      </c>
      <c r="F27" s="90">
        <f>+'basedata_EU-infra'!F61</f>
        <v>5860</v>
      </c>
      <c r="G27" s="90">
        <f>+'basedata_EU-infra'!G61</f>
        <v>31852</v>
      </c>
      <c r="H27" s="90">
        <f>+'basedata_EU-infra'!H61</f>
        <v>40826</v>
      </c>
      <c r="I27" s="90">
        <f>+'basedata_EU-infra'!I61</f>
        <v>2474</v>
      </c>
      <c r="J27" s="90">
        <f>+'basedata_EU-infra'!J61</f>
        <v>1954</v>
      </c>
      <c r="K27" s="90">
        <f>+'basedata_EU-infra'!K61</f>
        <v>16014</v>
      </c>
      <c r="L27" s="90">
        <f>+'basedata_EU-infra'!L61</f>
        <v>274</v>
      </c>
      <c r="M27" s="90">
        <f>+'basedata_EU-infra'!M61</f>
        <v>2813</v>
      </c>
      <c r="N27" s="90">
        <f>+'basedata_EU-infra'!N61</f>
        <v>3071</v>
      </c>
      <c r="O27" s="90">
        <f>+'basedata_EU-infra'!O61</f>
        <v>12284</v>
      </c>
      <c r="P27" s="90">
        <f>+'basedata_EU-infra'!P61</f>
        <v>9821</v>
      </c>
      <c r="Q27" s="90">
        <f>+'basedata_EU-infra'!Q61</f>
        <v>17001</v>
      </c>
    </row>
    <row r="28" spans="1:17" ht="11.25">
      <c r="A28" s="1">
        <v>1997</v>
      </c>
      <c r="B28" s="90">
        <f t="shared" si="1"/>
        <v>153063</v>
      </c>
      <c r="C28" s="90">
        <f>+'basedata_EU-infra'!C62</f>
        <v>5672</v>
      </c>
      <c r="D28" s="90">
        <f>+'basedata_EU-infra'!D62</f>
        <v>3422</v>
      </c>
      <c r="E28" s="90">
        <f>+'basedata_EU-infra'!E62</f>
        <v>2248</v>
      </c>
      <c r="F28" s="90">
        <f>+'basedata_EU-infra'!F62</f>
        <v>5865</v>
      </c>
      <c r="G28" s="90">
        <f>+'basedata_EU-infra'!G62</f>
        <v>31821</v>
      </c>
      <c r="H28" s="90">
        <f>+'basedata_EU-infra'!H62</f>
        <v>38385</v>
      </c>
      <c r="I28" s="90">
        <f>+'basedata_EU-infra'!I62</f>
        <v>2503</v>
      </c>
      <c r="J28" s="90">
        <f>+'basedata_EU-infra'!J62</f>
        <v>1908</v>
      </c>
      <c r="K28" s="90">
        <f>+'basedata_EU-infra'!K62</f>
        <v>16030</v>
      </c>
      <c r="L28" s="90">
        <f>+'basedata_EU-infra'!L62</f>
        <v>274</v>
      </c>
      <c r="M28" s="90">
        <f>+'basedata_EU-infra'!M62</f>
        <v>2805</v>
      </c>
      <c r="N28" s="90">
        <f>+'basedata_EU-infra'!N62</f>
        <v>3038</v>
      </c>
      <c r="O28" s="90">
        <f>+'basedata_EU-infra'!O62</f>
        <v>12303</v>
      </c>
      <c r="P28" s="90">
        <f>+'basedata_EU-infra'!P62</f>
        <v>9798</v>
      </c>
      <c r="Q28" s="90">
        <f>+'basedata_EU-infra'!Q62</f>
        <v>16991</v>
      </c>
    </row>
    <row r="29" spans="1:17" ht="11.25">
      <c r="A29" s="1">
        <v>1998</v>
      </c>
      <c r="B29" s="90">
        <f t="shared" si="1"/>
        <v>152456</v>
      </c>
      <c r="C29" s="90">
        <f>+'basedata_EU-infra'!C63</f>
        <v>5643</v>
      </c>
      <c r="D29" s="90">
        <f>+'basedata_EU-infra'!D63</f>
        <v>3470</v>
      </c>
      <c r="E29" s="90">
        <f>+'basedata_EU-infra'!E63</f>
        <v>2264</v>
      </c>
      <c r="F29" s="90">
        <f>+'basedata_EU-infra'!F63</f>
        <v>5867</v>
      </c>
      <c r="G29" s="90">
        <f>+'basedata_EU-infra'!G63</f>
        <v>31770</v>
      </c>
      <c r="H29" s="90">
        <f>+'basedata_EU-infra'!H63</f>
        <v>38126</v>
      </c>
      <c r="I29" s="90">
        <f>+'basedata_EU-infra'!I63</f>
        <v>2299</v>
      </c>
      <c r="J29" s="90">
        <f>+'basedata_EU-infra'!J63</f>
        <v>1909</v>
      </c>
      <c r="K29" s="90">
        <f>+'basedata_EU-infra'!K63</f>
        <v>16080</v>
      </c>
      <c r="L29" s="90">
        <f>+'basedata_EU-infra'!L63</f>
        <v>274</v>
      </c>
      <c r="M29" s="90">
        <f>+'basedata_EU-infra'!M63</f>
        <v>2808</v>
      </c>
      <c r="N29" s="90">
        <f>+'basedata_EU-infra'!N63</f>
        <v>2794</v>
      </c>
      <c r="O29" s="90">
        <f>+'basedata_EU-infra'!O63</f>
        <v>12303</v>
      </c>
      <c r="P29" s="90">
        <f>+'basedata_EU-infra'!P63</f>
        <v>9855</v>
      </c>
      <c r="Q29" s="90">
        <f>+'basedata_EU-infra'!Q63</f>
        <v>16994</v>
      </c>
    </row>
    <row r="30" ht="11.25"/>
    <row r="31" spans="1:2" ht="11.25">
      <c r="A31" s="1" t="s">
        <v>208</v>
      </c>
      <c r="B31" s="1" t="s">
        <v>257</v>
      </c>
    </row>
    <row r="32" ht="11.25"/>
    <row r="33" ht="11.25"/>
    <row r="34" ht="11.25"/>
    <row r="35" spans="1:18" ht="11.25">
      <c r="A35" s="30" t="s">
        <v>94</v>
      </c>
      <c r="B35" s="31"/>
      <c r="C35" s="31"/>
      <c r="D35" s="31"/>
      <c r="E35" s="31"/>
      <c r="F35" s="31"/>
      <c r="G35" s="31"/>
      <c r="H35" s="31"/>
      <c r="I35" s="31"/>
      <c r="J35" s="31"/>
      <c r="K35" s="31"/>
      <c r="L35" s="31"/>
      <c r="M35" s="31"/>
      <c r="N35" s="31"/>
      <c r="O35" s="31"/>
      <c r="P35" s="31"/>
      <c r="Q35" s="31"/>
      <c r="R35" s="31"/>
    </row>
    <row r="36" spans="1:18" ht="11.25">
      <c r="A36" s="32" t="s">
        <v>27</v>
      </c>
      <c r="B36" s="31"/>
      <c r="C36" s="33"/>
      <c r="D36" s="33"/>
      <c r="E36" s="33"/>
      <c r="F36" s="33"/>
      <c r="G36" s="33"/>
      <c r="H36" s="33"/>
      <c r="I36" s="33"/>
      <c r="J36" s="33"/>
      <c r="K36" s="33"/>
      <c r="L36" s="33"/>
      <c r="M36" s="33"/>
      <c r="N36" s="33"/>
      <c r="O36" s="33"/>
      <c r="P36" s="31"/>
      <c r="Q36" s="31"/>
      <c r="R36" s="31"/>
    </row>
    <row r="37" spans="1:18" ht="11.25">
      <c r="A37" s="31"/>
      <c r="B37" s="31" t="s">
        <v>236</v>
      </c>
      <c r="C37" s="31" t="s">
        <v>49</v>
      </c>
      <c r="D37" s="31" t="s">
        <v>50</v>
      </c>
      <c r="E37" s="31" t="s">
        <v>51</v>
      </c>
      <c r="F37" s="31" t="s">
        <v>52</v>
      </c>
      <c r="G37" s="31" t="s">
        <v>53</v>
      </c>
      <c r="H37" s="31" t="s">
        <v>54</v>
      </c>
      <c r="I37" s="31" t="s">
        <v>55</v>
      </c>
      <c r="J37" s="31" t="s">
        <v>56</v>
      </c>
      <c r="K37" s="31" t="s">
        <v>57</v>
      </c>
      <c r="L37" s="31" t="s">
        <v>58</v>
      </c>
      <c r="M37" s="31" t="s">
        <v>59</v>
      </c>
      <c r="N37" s="31" t="s">
        <v>60</v>
      </c>
      <c r="O37" s="31" t="s">
        <v>61</v>
      </c>
      <c r="P37" s="31" t="s">
        <v>62</v>
      </c>
      <c r="Q37" s="31" t="s">
        <v>63</v>
      </c>
      <c r="R37" s="31"/>
    </row>
    <row r="38" spans="1:18" ht="11.25">
      <c r="A38" s="34">
        <v>1990</v>
      </c>
      <c r="B38" s="116">
        <f>SUM(C38:Q38)</f>
        <v>39800</v>
      </c>
      <c r="C38" s="116">
        <f>+'basedata_EU-infra'!C24</f>
        <v>1445</v>
      </c>
      <c r="D38" s="116">
        <f>+'basedata_EU-infra'!D24</f>
        <v>1666</v>
      </c>
      <c r="E38" s="116">
        <f>+'basedata_EU-infra'!E24</f>
        <v>653</v>
      </c>
      <c r="F38" s="116">
        <f>+'basedata_EU-infra'!F24</f>
        <v>225</v>
      </c>
      <c r="G38" s="116">
        <f>+'basedata_EU-infra'!G24</f>
        <v>6824</v>
      </c>
      <c r="H38" s="116">
        <f>+'basedata_EU-infra'!H24</f>
        <v>10854</v>
      </c>
      <c r="I38" s="137">
        <f>+'[4]manip_mway'!$F5*1000</f>
        <v>190</v>
      </c>
      <c r="J38" s="116">
        <f>+'basedata_EU-infra'!J24</f>
        <v>26</v>
      </c>
      <c r="K38" s="116">
        <f>+'basedata_EU-infra'!K24</f>
        <v>6185</v>
      </c>
      <c r="L38" s="116">
        <f>+'basedata_EU-infra'!L24</f>
        <v>78</v>
      </c>
      <c r="M38" s="116">
        <f>+'basedata_EU-infra'!M24</f>
        <v>2092</v>
      </c>
      <c r="N38" s="116">
        <f>+'basedata_EU-infra'!N24</f>
        <v>316</v>
      </c>
      <c r="O38" s="116">
        <f>+'basedata_EU-infra'!O24</f>
        <v>5126</v>
      </c>
      <c r="P38" s="116">
        <f>+'basedata_EU-infra'!P24</f>
        <v>939</v>
      </c>
      <c r="Q38" s="116">
        <f>+'basedata_EU-infra'!Q24</f>
        <v>3181</v>
      </c>
      <c r="R38" s="114"/>
    </row>
    <row r="39" spans="1:18" ht="11.25">
      <c r="A39" s="34">
        <v>1991</v>
      </c>
      <c r="B39" s="116">
        <f aca="true" t="shared" si="2" ref="B39:B47">SUM(C39:Q39)</f>
        <v>41298</v>
      </c>
      <c r="C39" s="116">
        <f>+'basedata_EU-infra'!C25</f>
        <v>1499</v>
      </c>
      <c r="D39" s="116">
        <f>+'basedata_EU-infra'!D25</f>
        <v>1650</v>
      </c>
      <c r="E39" s="116">
        <f>+'basedata_EU-infra'!E25</f>
        <v>653</v>
      </c>
      <c r="F39" s="116">
        <f>+'basedata_EU-infra'!F25</f>
        <v>249</v>
      </c>
      <c r="G39" s="116">
        <f>+'basedata_EU-infra'!G25</f>
        <v>7080</v>
      </c>
      <c r="H39" s="116">
        <f>+'basedata_EU-infra'!H25</f>
        <v>10955</v>
      </c>
      <c r="I39" s="137">
        <f>+'[4]manip_mway'!$F6*1000</f>
        <v>225</v>
      </c>
      <c r="J39" s="116">
        <f>+'basedata_EU-infra'!J25</f>
        <v>32</v>
      </c>
      <c r="K39" s="116">
        <f>+'basedata_EU-infra'!K25</f>
        <v>6301</v>
      </c>
      <c r="L39" s="116">
        <f>+'basedata_EU-infra'!L25</f>
        <v>95</v>
      </c>
      <c r="M39" s="116">
        <f>+'basedata_EU-infra'!M25</f>
        <v>2105</v>
      </c>
      <c r="N39" s="116">
        <f>+'basedata_EU-infra'!N25</f>
        <v>474</v>
      </c>
      <c r="O39" s="116">
        <f>+'basedata_EU-infra'!O25</f>
        <v>5801</v>
      </c>
      <c r="P39" s="116">
        <f>+'basedata_EU-infra'!P25</f>
        <v>968</v>
      </c>
      <c r="Q39" s="116">
        <f>+'basedata_EU-infra'!Q25</f>
        <v>3211</v>
      </c>
      <c r="R39" s="31"/>
    </row>
    <row r="40" spans="1:18" ht="11.25">
      <c r="A40" s="34">
        <v>1992</v>
      </c>
      <c r="B40" s="116">
        <f t="shared" si="2"/>
        <v>43252</v>
      </c>
      <c r="C40" s="116">
        <f>+'basedata_EU-infra'!C26</f>
        <v>1554</v>
      </c>
      <c r="D40" s="116">
        <f>+'basedata_EU-infra'!D26</f>
        <v>1658</v>
      </c>
      <c r="E40" s="116">
        <f>+'basedata_EU-infra'!E26</f>
        <v>696</v>
      </c>
      <c r="F40" s="116">
        <f>+'basedata_EU-infra'!F26</f>
        <v>318</v>
      </c>
      <c r="G40" s="116">
        <f>+'basedata_EU-infra'!G26</f>
        <v>7408</v>
      </c>
      <c r="H40" s="116">
        <f>+'basedata_EU-infra'!H26</f>
        <v>11013</v>
      </c>
      <c r="I40" s="137">
        <f>+'[4]manip_mway'!$F7*1000</f>
        <v>280</v>
      </c>
      <c r="J40" s="116">
        <f>+'basedata_EU-infra'!J26</f>
        <v>32</v>
      </c>
      <c r="K40" s="116">
        <f>+'basedata_EU-infra'!K26</f>
        <v>6301</v>
      </c>
      <c r="L40" s="116">
        <f>+'basedata_EU-infra'!L26</f>
        <v>100</v>
      </c>
      <c r="M40" s="116">
        <f>+'basedata_EU-infra'!M26</f>
        <v>2134</v>
      </c>
      <c r="N40" s="116">
        <f>+'basedata_EU-infra'!N26</f>
        <v>519</v>
      </c>
      <c r="O40" s="116">
        <f>+'basedata_EU-infra'!O26</f>
        <v>6988</v>
      </c>
      <c r="P40" s="116">
        <f>+'basedata_EU-infra'!P26</f>
        <v>1005</v>
      </c>
      <c r="Q40" s="116">
        <f>+'basedata_EU-infra'!Q26</f>
        <v>3246</v>
      </c>
      <c r="R40" s="31"/>
    </row>
    <row r="41" spans="1:18" ht="11.25">
      <c r="A41" s="34">
        <v>1993</v>
      </c>
      <c r="B41" s="116">
        <f t="shared" si="2"/>
        <v>44333</v>
      </c>
      <c r="C41" s="116">
        <f>+'basedata_EU-infra'!C27</f>
        <v>1554</v>
      </c>
      <c r="D41" s="116">
        <f>+'basedata_EU-infra'!D27</f>
        <v>1665</v>
      </c>
      <c r="E41" s="116">
        <f>+'basedata_EU-infra'!E27</f>
        <v>737</v>
      </c>
      <c r="F41" s="116">
        <f>+'basedata_EU-infra'!F27</f>
        <v>337</v>
      </c>
      <c r="G41" s="116">
        <f>+'basedata_EU-infra'!G27</f>
        <v>7614</v>
      </c>
      <c r="H41" s="116">
        <f>+'basedata_EU-infra'!H27</f>
        <v>11080</v>
      </c>
      <c r="I41" s="137">
        <f>+'[4]manip_mway'!$F8*1000</f>
        <v>330</v>
      </c>
      <c r="J41" s="116">
        <f>+'basedata_EU-infra'!J27</f>
        <v>53</v>
      </c>
      <c r="K41" s="116">
        <f>+'basedata_EU-infra'!K27</f>
        <v>6396</v>
      </c>
      <c r="L41" s="116">
        <f>+'basedata_EU-infra'!L27</f>
        <v>121</v>
      </c>
      <c r="M41" s="116">
        <f>+'basedata_EU-infra'!M27</f>
        <v>2150</v>
      </c>
      <c r="N41" s="116">
        <f>+'basedata_EU-infra'!N27</f>
        <v>579</v>
      </c>
      <c r="O41" s="116">
        <f>+'basedata_EU-infra'!O27</f>
        <v>7404</v>
      </c>
      <c r="P41" s="116">
        <f>+'basedata_EU-infra'!P27</f>
        <v>1061</v>
      </c>
      <c r="Q41" s="116">
        <f>+'basedata_EU-infra'!Q27</f>
        <v>3252</v>
      </c>
      <c r="R41" s="31"/>
    </row>
    <row r="42" spans="1:18" ht="11.25">
      <c r="A42" s="34">
        <v>1994</v>
      </c>
      <c r="B42" s="116">
        <f t="shared" si="2"/>
        <v>44160</v>
      </c>
      <c r="C42" s="116">
        <f>+'basedata_EU-infra'!C28</f>
        <v>1589</v>
      </c>
      <c r="D42" s="116">
        <f>+'basedata_EU-infra'!D28</f>
        <v>1666</v>
      </c>
      <c r="E42" s="116">
        <f>+'basedata_EU-infra'!E28</f>
        <v>786</v>
      </c>
      <c r="F42" s="116">
        <f>+'basedata_EU-infra'!F28</f>
        <v>388</v>
      </c>
      <c r="G42" s="116">
        <f>+'basedata_EU-infra'!G28</f>
        <v>7956</v>
      </c>
      <c r="H42" s="116">
        <f>+'basedata_EU-infra'!H28</f>
        <v>11143</v>
      </c>
      <c r="I42" s="137">
        <f>+'[4]manip_mway'!$F9*1000</f>
        <v>380</v>
      </c>
      <c r="J42" s="116">
        <f>+'basedata_EU-infra'!J28</f>
        <v>72</v>
      </c>
      <c r="K42" s="116">
        <f>+'basedata_EU-infra'!K28</f>
        <v>6375</v>
      </c>
      <c r="L42" s="116">
        <f>+'basedata_EU-infra'!L28</f>
        <v>123</v>
      </c>
      <c r="M42" s="116">
        <f>+'basedata_EU-infra'!M28</f>
        <v>2167</v>
      </c>
      <c r="N42" s="116">
        <f>+'basedata_EU-infra'!N28</f>
        <v>587</v>
      </c>
      <c r="O42" s="116">
        <f>+'basedata_EU-infra'!O28</f>
        <v>6497</v>
      </c>
      <c r="P42" s="116">
        <f>+'basedata_EU-infra'!P28</f>
        <v>1145</v>
      </c>
      <c r="Q42" s="116">
        <f>+'basedata_EU-infra'!Q28</f>
        <v>3286</v>
      </c>
      <c r="R42" s="31"/>
    </row>
    <row r="43" spans="1:18" ht="11.25">
      <c r="A43" s="34">
        <v>1995</v>
      </c>
      <c r="B43" s="116">
        <f t="shared" si="2"/>
        <v>45390</v>
      </c>
      <c r="C43" s="116">
        <f>+'basedata_EU-infra'!C29</f>
        <v>1596</v>
      </c>
      <c r="D43" s="116">
        <f>+'basedata_EU-infra'!D29</f>
        <v>1674</v>
      </c>
      <c r="E43" s="116">
        <f>+'basedata_EU-infra'!E29</f>
        <v>796</v>
      </c>
      <c r="F43" s="116">
        <f>+'basedata_EU-infra'!F29</f>
        <v>394</v>
      </c>
      <c r="G43" s="116">
        <f>+'basedata_EU-infra'!G29</f>
        <v>8275</v>
      </c>
      <c r="H43" s="116">
        <f>+'basedata_EU-infra'!H29</f>
        <v>11190</v>
      </c>
      <c r="I43" s="137">
        <f>+'[4]manip_mway'!$F10*1000</f>
        <v>420</v>
      </c>
      <c r="J43" s="116">
        <f>+'basedata_EU-infra'!J29</f>
        <v>70</v>
      </c>
      <c r="K43" s="116">
        <f>+'basedata_EU-infra'!K29</f>
        <v>6435</v>
      </c>
      <c r="L43" s="116">
        <f>+'basedata_EU-infra'!L29</f>
        <v>115</v>
      </c>
      <c r="M43" s="116">
        <f>+'basedata_EU-infra'!M29</f>
        <v>2207</v>
      </c>
      <c r="N43" s="116">
        <f>+'basedata_EU-infra'!N29</f>
        <v>687</v>
      </c>
      <c r="O43" s="116">
        <f>+'basedata_EU-infra'!O29</f>
        <v>6962</v>
      </c>
      <c r="P43" s="116">
        <f>+'basedata_EU-infra'!P29</f>
        <v>1262</v>
      </c>
      <c r="Q43" s="116">
        <f>+'basedata_EU-infra'!Q29</f>
        <v>3307</v>
      </c>
      <c r="R43" s="31"/>
    </row>
    <row r="44" spans="1:18" ht="11.25">
      <c r="A44" s="34">
        <v>1996</v>
      </c>
      <c r="B44" s="116">
        <f t="shared" si="2"/>
        <v>46546</v>
      </c>
      <c r="C44" s="116">
        <f>+'basedata_EU-infra'!C30</f>
        <v>1607</v>
      </c>
      <c r="D44" s="116">
        <f>+'basedata_EU-infra'!D30</f>
        <v>1679</v>
      </c>
      <c r="E44" s="116">
        <f>+'basedata_EU-infra'!E30</f>
        <v>832</v>
      </c>
      <c r="F44" s="116">
        <f>+'basedata_EU-infra'!F30</f>
        <v>431</v>
      </c>
      <c r="G44" s="116">
        <f>+'basedata_EU-infra'!G30</f>
        <v>8596</v>
      </c>
      <c r="H44" s="116">
        <f>+'basedata_EU-infra'!H30</f>
        <v>11246</v>
      </c>
      <c r="I44" s="137">
        <f>+'[4]manip_mway'!$F11*1000</f>
        <v>470</v>
      </c>
      <c r="J44" s="116">
        <f>+'basedata_EU-infra'!J30</f>
        <v>80</v>
      </c>
      <c r="K44" s="116">
        <f>+'basedata_EU-infra'!K30</f>
        <v>6565</v>
      </c>
      <c r="L44" s="116">
        <f>+'basedata_EU-infra'!L30</f>
        <v>118</v>
      </c>
      <c r="M44" s="116">
        <f>+'basedata_EU-infra'!M30</f>
        <v>2223</v>
      </c>
      <c r="N44" s="116">
        <f>+'basedata_EU-infra'!N30</f>
        <v>710</v>
      </c>
      <c r="O44" s="116">
        <f>+'basedata_EU-infra'!O30</f>
        <v>7295</v>
      </c>
      <c r="P44" s="116">
        <f>+'basedata_EU-infra'!P30</f>
        <v>1350</v>
      </c>
      <c r="Q44" s="116">
        <f>+'basedata_EU-infra'!Q30</f>
        <v>3344</v>
      </c>
      <c r="R44" s="31"/>
    </row>
    <row r="45" spans="1:18" ht="11.25">
      <c r="A45" s="34">
        <v>1997</v>
      </c>
      <c r="B45" s="116">
        <f t="shared" si="2"/>
        <v>47532</v>
      </c>
      <c r="C45" s="116">
        <f>+'basedata_EU-infra'!C31</f>
        <v>1613</v>
      </c>
      <c r="D45" s="116">
        <f>+'basedata_EU-infra'!D31</f>
        <v>1682</v>
      </c>
      <c r="E45" s="116">
        <f>+'basedata_EU-infra'!E31</f>
        <v>855</v>
      </c>
      <c r="F45" s="116">
        <f>+'basedata_EU-infra'!F31</f>
        <v>444</v>
      </c>
      <c r="G45" s="116">
        <f>+'basedata_EU-infra'!G31</f>
        <v>8864</v>
      </c>
      <c r="H45" s="116">
        <f>+'basedata_EU-infra'!H31</f>
        <v>11309</v>
      </c>
      <c r="I45" s="137">
        <f>+'[4]manip_mway'!$F12*1000</f>
        <v>470</v>
      </c>
      <c r="J45" s="116">
        <f>+'basedata_EU-infra'!J31</f>
        <v>94</v>
      </c>
      <c r="K45" s="116">
        <f>+'basedata_EU-infra'!K31</f>
        <v>6469</v>
      </c>
      <c r="L45" s="116">
        <f>+'basedata_EU-infra'!L31</f>
        <v>115</v>
      </c>
      <c r="M45" s="116">
        <f>+'basedata_EU-infra'!M31</f>
        <v>2235</v>
      </c>
      <c r="N45" s="116">
        <f>+'basedata_EU-infra'!N31</f>
        <v>797</v>
      </c>
      <c r="O45" s="116">
        <f>+'basedata_EU-infra'!O31</f>
        <v>7750</v>
      </c>
      <c r="P45" s="116">
        <f>+'basedata_EU-infra'!P31</f>
        <v>1423</v>
      </c>
      <c r="Q45" s="116">
        <f>+'basedata_EU-infra'!Q31</f>
        <v>3412</v>
      </c>
      <c r="R45" s="31"/>
    </row>
    <row r="46" spans="1:18" ht="11.25">
      <c r="A46" s="34">
        <v>1998</v>
      </c>
      <c r="B46" s="116">
        <f t="shared" si="2"/>
        <v>49162</v>
      </c>
      <c r="C46" s="116">
        <f>+'basedata_EU-infra'!C32</f>
        <v>1613</v>
      </c>
      <c r="D46" s="116">
        <f>+'basedata_EU-infra'!D32</f>
        <v>1691</v>
      </c>
      <c r="E46" s="116">
        <f>+'basedata_EU-infra'!E32</f>
        <v>873</v>
      </c>
      <c r="F46" s="116">
        <f>+'basedata_EU-infra'!F32</f>
        <v>473</v>
      </c>
      <c r="G46" s="116">
        <f>+'basedata_EU-infra'!G32</f>
        <v>9303</v>
      </c>
      <c r="H46" s="116">
        <f>+'basedata_EU-infra'!H32</f>
        <v>11427</v>
      </c>
      <c r="I46" s="137">
        <f>+'[4]manip_mway'!$F13*1000</f>
        <v>470</v>
      </c>
      <c r="J46" s="116">
        <f>+'basedata_EU-infra'!J32</f>
        <v>103</v>
      </c>
      <c r="K46" s="116">
        <f>+'basedata_EU-infra'!K32</f>
        <v>6478</v>
      </c>
      <c r="L46" s="116">
        <f>+'basedata_EU-infra'!L32</f>
        <v>115</v>
      </c>
      <c r="M46" s="138">
        <f>+M45</f>
        <v>2235</v>
      </c>
      <c r="N46" s="116">
        <f>+'basedata_EU-infra'!N32</f>
        <v>1252</v>
      </c>
      <c r="O46" s="116">
        <f>+'basedata_EU-infra'!O32</f>
        <v>8269</v>
      </c>
      <c r="P46" s="116">
        <f>+'basedata_EU-infra'!P32</f>
        <v>1439</v>
      </c>
      <c r="Q46" s="116">
        <f>+'basedata_EU-infra'!Q32</f>
        <v>3421</v>
      </c>
      <c r="R46" s="31"/>
    </row>
    <row r="47" spans="1:18" ht="11.25">
      <c r="A47" s="34">
        <v>1999</v>
      </c>
      <c r="B47" s="116">
        <f t="shared" si="2"/>
        <v>50458</v>
      </c>
      <c r="C47" s="116">
        <f>+'basedata_EU-infra'!C33</f>
        <v>1634</v>
      </c>
      <c r="D47" s="116">
        <f>+'basedata_EU-infra'!D33</f>
        <v>1702</v>
      </c>
      <c r="E47" s="116">
        <f>+'basedata_EU-infra'!E33</f>
        <v>892</v>
      </c>
      <c r="F47" s="116">
        <f>+'basedata_EU-infra'!F33</f>
        <v>512</v>
      </c>
      <c r="G47" s="116">
        <f>+'basedata_EU-infra'!G33</f>
        <v>9626</v>
      </c>
      <c r="H47" s="116">
        <f>+'basedata_EU-infra'!H33</f>
        <v>11515</v>
      </c>
      <c r="I47" s="137">
        <f>+'[4]manip_mway'!$F14*1000</f>
        <v>470</v>
      </c>
      <c r="J47" s="116">
        <f>+'basedata_EU-infra'!J33</f>
        <v>103</v>
      </c>
      <c r="K47" s="116">
        <f>+'basedata_EU-infra'!K33</f>
        <v>6478</v>
      </c>
      <c r="L47" s="116">
        <f>+'basedata_EU-infra'!L33</f>
        <v>115</v>
      </c>
      <c r="M47" s="138">
        <f>+M45</f>
        <v>2235</v>
      </c>
      <c r="N47" s="116">
        <f>+'basedata_EU-infra'!N33</f>
        <v>1441</v>
      </c>
      <c r="O47" s="116">
        <f>+'basedata_EU-infra'!O33</f>
        <v>8893</v>
      </c>
      <c r="P47" s="116">
        <f>+'basedata_EU-infra'!P33</f>
        <v>1484</v>
      </c>
      <c r="Q47" s="116">
        <f>+'basedata_EU-infra'!Q33</f>
        <v>3358</v>
      </c>
      <c r="R47" s="31"/>
    </row>
    <row r="48" spans="1:18" ht="11.25">
      <c r="A48" s="31"/>
      <c r="B48" s="115">
        <f>+B46/B38-1</f>
        <v>0.23522613065326636</v>
      </c>
      <c r="C48" s="115"/>
      <c r="D48" s="31"/>
      <c r="E48" s="31"/>
      <c r="F48" s="31"/>
      <c r="G48" s="31"/>
      <c r="H48" s="31"/>
      <c r="I48" s="137" t="s">
        <v>253</v>
      </c>
      <c r="J48" s="31"/>
      <c r="K48" s="31"/>
      <c r="L48" s="31"/>
      <c r="M48" s="31"/>
      <c r="N48" s="31"/>
      <c r="O48" s="31"/>
      <c r="P48" s="31"/>
      <c r="Q48" s="31"/>
      <c r="R48" s="31"/>
    </row>
    <row r="49" spans="1:18" ht="11.25">
      <c r="A49" s="31" t="s">
        <v>254</v>
      </c>
      <c r="B49" s="31" t="s">
        <v>255</v>
      </c>
      <c r="C49" s="31"/>
      <c r="D49" s="31"/>
      <c r="E49" s="31"/>
      <c r="F49" s="31"/>
      <c r="G49" s="31"/>
      <c r="H49" s="31"/>
      <c r="I49" s="31"/>
      <c r="J49" s="31"/>
      <c r="K49" s="31"/>
      <c r="L49" s="31"/>
      <c r="M49" s="31"/>
      <c r="N49" s="31"/>
      <c r="O49" s="31"/>
      <c r="P49" s="31"/>
      <c r="Q49" s="31"/>
      <c r="R49" s="31"/>
    </row>
    <row r="50" spans="1:18" ht="11.25">
      <c r="A50" s="34" t="s">
        <v>78</v>
      </c>
      <c r="B50" s="114" t="s">
        <v>256</v>
      </c>
      <c r="C50" s="31"/>
      <c r="D50" s="31"/>
      <c r="E50" s="33"/>
      <c r="F50" s="114"/>
      <c r="G50" s="31"/>
      <c r="H50" s="31"/>
      <c r="I50" s="31"/>
      <c r="J50" s="31"/>
      <c r="K50" s="31"/>
      <c r="L50" s="31"/>
      <c r="M50" s="31"/>
      <c r="N50" s="31"/>
      <c r="O50" s="31"/>
      <c r="P50" s="31"/>
      <c r="Q50" s="31"/>
      <c r="R50" s="31"/>
    </row>
    <row r="51" spans="1:2" ht="11.25">
      <c r="A51" s="1" t="s">
        <v>82</v>
      </c>
      <c r="B51" s="1" t="s">
        <v>83</v>
      </c>
    </row>
    <row r="55" spans="1:15" ht="11.25">
      <c r="A55" s="4" t="s">
        <v>262</v>
      </c>
      <c r="B55" s="5"/>
      <c r="C55" s="5"/>
      <c r="D55" s="5"/>
      <c r="E55" s="5"/>
      <c r="F55" s="5"/>
      <c r="G55" s="5"/>
      <c r="H55" s="5"/>
      <c r="I55" s="5"/>
      <c r="J55" s="5"/>
      <c r="K55" s="5"/>
      <c r="L55" s="5"/>
      <c r="M55" s="5"/>
      <c r="N55" s="5"/>
      <c r="O55" s="6"/>
    </row>
    <row r="56" ht="11.25">
      <c r="A56" s="23" t="s">
        <v>206</v>
      </c>
    </row>
    <row r="58" spans="1:17" ht="11.25">
      <c r="A58" s="5"/>
      <c r="B58" s="29" t="s">
        <v>68</v>
      </c>
      <c r="C58" s="29" t="s">
        <v>49</v>
      </c>
      <c r="D58" s="29" t="s">
        <v>50</v>
      </c>
      <c r="E58" s="29" t="s">
        <v>51</v>
      </c>
      <c r="F58" s="29" t="s">
        <v>52</v>
      </c>
      <c r="G58" s="29" t="s">
        <v>53</v>
      </c>
      <c r="H58" s="29" t="s">
        <v>54</v>
      </c>
      <c r="I58" s="29" t="s">
        <v>55</v>
      </c>
      <c r="J58" s="29" t="s">
        <v>56</v>
      </c>
      <c r="K58" s="29" t="s">
        <v>57</v>
      </c>
      <c r="L58" s="29" t="s">
        <v>58</v>
      </c>
      <c r="M58" s="29" t="s">
        <v>59</v>
      </c>
      <c r="N58" s="29" t="s">
        <v>60</v>
      </c>
      <c r="O58" s="29" t="s">
        <v>61</v>
      </c>
      <c r="P58" s="29" t="s">
        <v>62</v>
      </c>
      <c r="Q58" s="29" t="s">
        <v>63</v>
      </c>
    </row>
    <row r="59" spans="1:17" ht="11.25">
      <c r="A59" s="5">
        <v>1990</v>
      </c>
      <c r="B59" s="116">
        <f>+B6/B$75*1000</f>
        <v>1195.7462436192932</v>
      </c>
      <c r="C59" s="116">
        <f aca="true" t="shared" si="3" ref="C59:Q59">+C6/C$75*1000</f>
        <v>1267.2939100156216</v>
      </c>
      <c r="D59" s="116">
        <f t="shared" si="3"/>
        <v>4595.3385040353105</v>
      </c>
      <c r="E59" s="116">
        <f t="shared" si="3"/>
        <v>1645.7358728744339</v>
      </c>
      <c r="F59" s="116">
        <f t="shared" si="3"/>
        <v>253.11193372854436</v>
      </c>
      <c r="G59" s="116">
        <f t="shared" si="3"/>
        <v>1485.5709360498827</v>
      </c>
      <c r="H59" s="116">
        <f t="shared" si="3"/>
        <v>2559.2251597826394</v>
      </c>
      <c r="I59" s="116">
        <f t="shared" si="3"/>
        <v>291.0682200637414</v>
      </c>
      <c r="J59" s="116">
        <f t="shared" si="3"/>
        <v>1313.290576337176</v>
      </c>
      <c r="K59" s="116">
        <f t="shared" si="3"/>
        <v>2725.3264178958843</v>
      </c>
      <c r="L59" s="116">
        <f t="shared" si="3"/>
        <v>1968.3730281472315</v>
      </c>
      <c r="M59" s="116">
        <f t="shared" si="3"/>
        <v>3064.865534908979</v>
      </c>
      <c r="N59" s="116">
        <f t="shared" si="3"/>
        <v>693.0157864982533</v>
      </c>
      <c r="O59" s="116">
        <f t="shared" si="3"/>
        <v>319.67550862735</v>
      </c>
      <c r="P59" s="116">
        <f t="shared" si="3"/>
        <v>325.01067080812453</v>
      </c>
      <c r="Q59" s="116">
        <f t="shared" si="3"/>
        <v>1567.2012140103354</v>
      </c>
    </row>
    <row r="60" spans="1:17" ht="11.25">
      <c r="A60" s="5">
        <v>1991</v>
      </c>
      <c r="B60" s="116" t="e">
        <f aca="true" t="shared" si="4" ref="B60:B66">+B7/B$76*1000</f>
        <v>#N/A</v>
      </c>
      <c r="C60" s="116" t="e">
        <f aca="true" t="shared" si="5" ref="C60:Q60">+C7/C$76*1000</f>
        <v>#N/A</v>
      </c>
      <c r="D60" s="116">
        <f t="shared" si="5"/>
        <v>4614.3763864722905</v>
      </c>
      <c r="E60" s="116">
        <f t="shared" si="5"/>
        <v>1648.5204574144204</v>
      </c>
      <c r="F60" s="116">
        <f t="shared" si="5"/>
        <v>253.77853625250512</v>
      </c>
      <c r="G60" s="116">
        <f t="shared" si="5"/>
        <v>1633.2680472221905</v>
      </c>
      <c r="H60" s="116">
        <f t="shared" si="5"/>
        <v>1782.1706746497682</v>
      </c>
      <c r="I60" s="116">
        <f t="shared" si="5"/>
        <v>293.3018298126123</v>
      </c>
      <c r="J60" s="116">
        <f t="shared" si="5"/>
        <v>1313.831323792461</v>
      </c>
      <c r="K60" s="116" t="e">
        <f t="shared" si="5"/>
        <v>#N/A</v>
      </c>
      <c r="L60" s="116">
        <f t="shared" si="5"/>
        <v>1974.9458707083202</v>
      </c>
      <c r="M60" s="116">
        <f t="shared" si="5"/>
        <v>3093.9661889358485</v>
      </c>
      <c r="N60" s="116">
        <f t="shared" si="5"/>
        <v>674.1526215857672</v>
      </c>
      <c r="O60" s="116">
        <f t="shared" si="5"/>
        <v>322.32017274510196</v>
      </c>
      <c r="P60" s="116">
        <f t="shared" si="5"/>
        <v>330.6101074089234</v>
      </c>
      <c r="Q60" s="116">
        <f t="shared" si="5"/>
        <v>1575.7731113116233</v>
      </c>
    </row>
    <row r="61" spans="1:17" ht="11.25">
      <c r="A61" s="5">
        <v>1992</v>
      </c>
      <c r="B61" s="116" t="e">
        <f t="shared" si="4"/>
        <v>#N/A</v>
      </c>
      <c r="C61" s="116" t="e">
        <f aca="true" t="shared" si="6" ref="C61:Q61">+C8/C$76*1000</f>
        <v>#N/A</v>
      </c>
      <c r="D61" s="116">
        <f t="shared" si="6"/>
        <v>4640.819710270299</v>
      </c>
      <c r="E61" s="116">
        <f t="shared" si="6"/>
        <v>1648.4740476720872</v>
      </c>
      <c r="F61" s="116">
        <f t="shared" si="6"/>
        <v>254.19228954323935</v>
      </c>
      <c r="G61" s="116">
        <f t="shared" si="6"/>
        <v>1683.291523014549</v>
      </c>
      <c r="H61" s="116">
        <f t="shared" si="6"/>
        <v>1792.0664566322187</v>
      </c>
      <c r="I61" s="116">
        <f t="shared" si="6"/>
        <v>293.3018298126123</v>
      </c>
      <c r="J61" s="116">
        <f t="shared" si="6"/>
        <v>1302.1198723266796</v>
      </c>
      <c r="K61" s="116" t="e">
        <f t="shared" si="6"/>
        <v>#N/A</v>
      </c>
      <c r="L61" s="116">
        <f t="shared" si="6"/>
        <v>1976.8790596968759</v>
      </c>
      <c r="M61" s="116">
        <f t="shared" si="6"/>
        <v>3123.066842962718</v>
      </c>
      <c r="N61" s="116">
        <f t="shared" si="6"/>
        <v>744.3348566512084</v>
      </c>
      <c r="O61" s="116">
        <f t="shared" si="6"/>
        <v>313.0985162146635</v>
      </c>
      <c r="P61" s="116">
        <f t="shared" si="6"/>
        <v>328.42727619166277</v>
      </c>
      <c r="Q61" s="116">
        <f t="shared" si="6"/>
        <v>1585.3006316134854</v>
      </c>
    </row>
    <row r="62" spans="1:17" ht="11.25">
      <c r="A62" s="5">
        <v>1993</v>
      </c>
      <c r="B62" s="116" t="e">
        <f t="shared" si="4"/>
        <v>#N/A</v>
      </c>
      <c r="C62" s="116">
        <f aca="true" t="shared" si="7" ref="C62:Q62">+C9/C$76*1000</f>
        <v>1267.2939100156216</v>
      </c>
      <c r="D62" s="116">
        <f t="shared" si="7"/>
        <v>4667.066429430403</v>
      </c>
      <c r="E62" s="116">
        <f t="shared" si="7"/>
        <v>1650.1215935249127</v>
      </c>
      <c r="F62" s="116">
        <f t="shared" si="7"/>
        <v>254.48782760804954</v>
      </c>
      <c r="G62" s="116">
        <f t="shared" si="7"/>
        <v>1683.6132351259623</v>
      </c>
      <c r="H62" s="116">
        <f t="shared" si="7"/>
        <v>1808.3624259426902</v>
      </c>
      <c r="I62" s="116">
        <f t="shared" si="7"/>
        <v>293.3018298126123</v>
      </c>
      <c r="J62" s="116">
        <f t="shared" si="7"/>
        <v>1302.1198723266796</v>
      </c>
      <c r="K62" s="116" t="e">
        <f t="shared" si="7"/>
        <v>#N/A</v>
      </c>
      <c r="L62" s="116">
        <f t="shared" si="7"/>
        <v>1984.998453448809</v>
      </c>
      <c r="M62" s="116">
        <f t="shared" si="7"/>
        <v>3122.5651075484616</v>
      </c>
      <c r="N62" s="116">
        <f t="shared" si="7"/>
        <v>765.4390781712078</v>
      </c>
      <c r="O62" s="116">
        <f t="shared" si="7"/>
        <v>316.69407080171953</v>
      </c>
      <c r="P62" s="116">
        <f t="shared" si="7"/>
        <v>328.32507004771077</v>
      </c>
      <c r="Q62" s="116">
        <f t="shared" si="7"/>
        <v>1593.187597407924</v>
      </c>
    </row>
    <row r="63" spans="1:17" ht="11.25">
      <c r="A63" s="5">
        <v>1994</v>
      </c>
      <c r="B63" s="116">
        <f t="shared" si="4"/>
        <v>1220.6648950873362</v>
      </c>
      <c r="C63" s="116">
        <f aca="true" t="shared" si="8" ref="C63:Q63">+C10/C$76*1000</f>
        <v>1267.222361344638</v>
      </c>
      <c r="D63" s="116">
        <f t="shared" si="8"/>
        <v>4691.478171970078</v>
      </c>
      <c r="E63" s="116">
        <f t="shared" si="8"/>
        <v>1653.4630949728967</v>
      </c>
      <c r="F63" s="116">
        <f t="shared" si="8"/>
        <v>254.96397226802154</v>
      </c>
      <c r="G63" s="116">
        <f t="shared" si="8"/>
        <v>1773.3010567231765</v>
      </c>
      <c r="H63" s="116">
        <f t="shared" si="8"/>
        <v>1812.2949699289231</v>
      </c>
      <c r="I63" s="116">
        <f t="shared" si="8"/>
        <v>293.3018298126123</v>
      </c>
      <c r="J63" s="116">
        <f t="shared" si="8"/>
        <v>1302.1198723266796</v>
      </c>
      <c r="K63" s="116">
        <f t="shared" si="8"/>
        <v>2766.6716890761263</v>
      </c>
      <c r="L63" s="116">
        <f t="shared" si="8"/>
        <v>1985.7717290442313</v>
      </c>
      <c r="M63" s="116">
        <f t="shared" si="8"/>
        <v>3216.0354638396334</v>
      </c>
      <c r="N63" s="116">
        <f t="shared" si="8"/>
        <v>813.1544392065534</v>
      </c>
      <c r="O63" s="116">
        <f t="shared" si="8"/>
        <v>321.31381366508845</v>
      </c>
      <c r="P63" s="116">
        <f t="shared" si="8"/>
        <v>328.55381713179383</v>
      </c>
      <c r="Q63" s="116">
        <f t="shared" si="8"/>
        <v>1595.7468624395046</v>
      </c>
    </row>
    <row r="64" spans="1:17" ht="11.25">
      <c r="A64" s="5">
        <v>1995</v>
      </c>
      <c r="B64" s="116">
        <f t="shared" si="4"/>
        <v>1219.0546184631385</v>
      </c>
      <c r="C64" s="116">
        <f aca="true" t="shared" si="9" ref="C64:Q64">+C11/C$76*1000</f>
        <v>1267.735126820019</v>
      </c>
      <c r="D64" s="116">
        <f t="shared" si="9"/>
        <v>4691.478171970078</v>
      </c>
      <c r="E64" s="116">
        <f t="shared" si="9"/>
        <v>1654.9946164698893</v>
      </c>
      <c r="F64" s="116">
        <f t="shared" si="9"/>
        <v>255.22010525752364</v>
      </c>
      <c r="G64" s="116">
        <f t="shared" si="9"/>
        <v>1763.6662385750838</v>
      </c>
      <c r="H64" s="116">
        <f t="shared" si="9"/>
        <v>1813.0120149862416</v>
      </c>
      <c r="I64" s="116">
        <f t="shared" si="9"/>
        <v>293.3018298126123</v>
      </c>
      <c r="J64" s="116">
        <f t="shared" si="9"/>
        <v>1315.2970340002078</v>
      </c>
      <c r="K64" s="116">
        <f t="shared" si="9"/>
        <v>2743.2079655856537</v>
      </c>
      <c r="L64" s="116">
        <f t="shared" si="9"/>
        <v>1995.437673987009</v>
      </c>
      <c r="M64" s="116">
        <f t="shared" si="9"/>
        <v>3345.4241730219815</v>
      </c>
      <c r="N64" s="116">
        <f t="shared" si="9"/>
        <v>774.0316720985074</v>
      </c>
      <c r="O64" s="116">
        <f t="shared" si="9"/>
        <v>322.14782384754056</v>
      </c>
      <c r="P64" s="116">
        <f t="shared" si="9"/>
        <v>334.59128006381553</v>
      </c>
      <c r="Q64" s="116">
        <f t="shared" si="9"/>
        <v>1604.0767779509474</v>
      </c>
    </row>
    <row r="65" spans="1:17" ht="11.25">
      <c r="A65" s="5">
        <v>1996</v>
      </c>
      <c r="B65" s="116">
        <f t="shared" si="4"/>
        <v>1225.5198441998657</v>
      </c>
      <c r="C65" s="116">
        <f aca="true" t="shared" si="10" ref="C65:Q65">+C12/C$76*1000</f>
        <v>1268.176343624417</v>
      </c>
      <c r="D65" s="116">
        <f t="shared" si="10"/>
        <v>4711.957821751682</v>
      </c>
      <c r="E65" s="116">
        <f t="shared" si="10"/>
        <v>1655.3426895373877</v>
      </c>
      <c r="F65" s="116">
        <f t="shared" si="10"/>
        <v>255.4171306340638</v>
      </c>
      <c r="G65" s="116">
        <f t="shared" si="10"/>
        <v>1781.654541490384</v>
      </c>
      <c r="H65" s="116">
        <f t="shared" si="10"/>
        <v>1819.2189362636575</v>
      </c>
      <c r="I65" s="116">
        <f t="shared" si="10"/>
        <v>293.3018298126123</v>
      </c>
      <c r="J65" s="116">
        <f t="shared" si="10"/>
        <v>1318.427677162385</v>
      </c>
      <c r="K65" s="116">
        <f t="shared" si="10"/>
        <v>2754.6975569186125</v>
      </c>
      <c r="L65" s="116">
        <f t="shared" si="10"/>
        <v>1999.30405196412</v>
      </c>
      <c r="M65" s="116">
        <f t="shared" si="10"/>
        <v>3412.3025523575657</v>
      </c>
      <c r="N65" s="116">
        <f t="shared" si="10"/>
        <v>774.0316720985074</v>
      </c>
      <c r="O65" s="116">
        <f t="shared" si="10"/>
        <v>321.1236355712276</v>
      </c>
      <c r="P65" s="116">
        <f t="shared" si="10"/>
        <v>335.4916675224403</v>
      </c>
      <c r="Q65" s="116">
        <f t="shared" si="10"/>
        <v>1611.55360511853</v>
      </c>
    </row>
    <row r="66" spans="1:17" ht="11.25">
      <c r="A66" s="5">
        <v>1997</v>
      </c>
      <c r="B66" s="116">
        <f t="shared" si="4"/>
        <v>1230.7702219039893</v>
      </c>
      <c r="C66" s="116">
        <f aca="true" t="shared" si="11" ref="C66:Q66">+C13/C$76*1000</f>
        <v>1268.224042738406</v>
      </c>
      <c r="D66" s="116">
        <f t="shared" si="11"/>
        <v>4748.4607495224145</v>
      </c>
      <c r="E66" s="116">
        <f t="shared" si="11"/>
        <v>1657.6863815252095</v>
      </c>
      <c r="F66" s="116">
        <f t="shared" si="11"/>
        <v>255.46310322192318</v>
      </c>
      <c r="G66" s="116">
        <f t="shared" si="11"/>
        <v>1789.6569004674202</v>
      </c>
      <c r="H66" s="116">
        <f t="shared" si="11"/>
        <v>1819.2133343491473</v>
      </c>
      <c r="I66" s="116">
        <f t="shared" si="11"/>
        <v>293.3018298126123</v>
      </c>
      <c r="J66" s="116">
        <f t="shared" si="11"/>
        <v>1363.793542621572</v>
      </c>
      <c r="K66" s="116">
        <f t="shared" si="11"/>
        <v>2770.335614215233</v>
      </c>
      <c r="L66" s="116">
        <f t="shared" si="11"/>
        <v>2002.3971543458088</v>
      </c>
      <c r="M66" s="116">
        <f t="shared" si="11"/>
        <v>3426.351143956744</v>
      </c>
      <c r="N66" s="116">
        <f t="shared" si="11"/>
        <v>774.4596125562235</v>
      </c>
      <c r="O66" s="116">
        <f t="shared" si="11"/>
        <v>322.5004457299075</v>
      </c>
      <c r="P66" s="116">
        <f t="shared" si="11"/>
        <v>336.5672655135542</v>
      </c>
      <c r="Q66" s="116">
        <f t="shared" si="11"/>
        <v>1617.2996472807808</v>
      </c>
    </row>
    <row r="67" spans="1:17" ht="11.25">
      <c r="A67" s="5">
        <v>1998</v>
      </c>
      <c r="B67" s="116">
        <f aca="true" t="shared" si="12" ref="B67:Q67">+B14/B$76*1000</f>
        <v>1233.7746540682144</v>
      </c>
      <c r="C67" s="116">
        <f t="shared" si="12"/>
        <v>1268.3313657448814</v>
      </c>
      <c r="D67" s="116">
        <f t="shared" si="12"/>
        <v>4779.131073035346</v>
      </c>
      <c r="E67" s="116">
        <f t="shared" si="12"/>
        <v>1658.2665033043736</v>
      </c>
      <c r="F67" s="116">
        <f t="shared" si="12"/>
        <v>255.7849113369387</v>
      </c>
      <c r="G67" s="116">
        <f t="shared" si="12"/>
        <v>1802.2625001700478</v>
      </c>
      <c r="H67" s="116">
        <f t="shared" si="12"/>
        <v>1818.0677428317902</v>
      </c>
      <c r="I67" s="116">
        <f t="shared" si="12"/>
        <v>293.3018298126123</v>
      </c>
      <c r="J67" s="116">
        <f t="shared" si="12"/>
        <v>1363.7508520329968</v>
      </c>
      <c r="K67" s="116">
        <f t="shared" si="12"/>
        <v>2770.335614215233</v>
      </c>
      <c r="L67" s="116">
        <f t="shared" si="12"/>
        <v>2002.3971543458088</v>
      </c>
      <c r="M67" s="116">
        <f t="shared" si="12"/>
        <v>3426.351143956744</v>
      </c>
      <c r="N67" s="116">
        <f t="shared" si="12"/>
        <v>774.4596125562235</v>
      </c>
      <c r="O67" s="116">
        <f t="shared" si="12"/>
        <v>323.44737415558944</v>
      </c>
      <c r="P67" s="116">
        <f t="shared" si="12"/>
        <v>335.89805861863044</v>
      </c>
      <c r="Q67" s="116">
        <f t="shared" si="12"/>
        <v>1624.4811746370274</v>
      </c>
    </row>
    <row r="68" spans="1:17" ht="11.25">
      <c r="A68" s="5"/>
      <c r="B68" s="116"/>
      <c r="C68" s="116"/>
      <c r="D68" s="116"/>
      <c r="E68" s="116"/>
      <c r="F68" s="116"/>
      <c r="G68" s="116"/>
      <c r="H68" s="116"/>
      <c r="I68" s="116"/>
      <c r="J68" s="116"/>
      <c r="K68" s="116"/>
      <c r="L68" s="116"/>
      <c r="M68" s="116"/>
      <c r="N68" s="116"/>
      <c r="O68" s="116"/>
      <c r="P68" s="116"/>
      <c r="Q68" s="116"/>
    </row>
    <row r="71" spans="1:4" ht="11.25">
      <c r="A71" s="3" t="s">
        <v>48</v>
      </c>
      <c r="D71" s="141"/>
    </row>
    <row r="72" spans="1:4" ht="11.25">
      <c r="A72" s="22" t="s">
        <v>263</v>
      </c>
      <c r="D72" s="141"/>
    </row>
    <row r="73" spans="1:17" ht="11.25">
      <c r="A73" s="22"/>
      <c r="D73" s="141"/>
      <c r="E73" s="141"/>
      <c r="F73" s="141"/>
      <c r="G73" s="141"/>
      <c r="H73" s="141"/>
      <c r="I73" s="141"/>
      <c r="J73" s="141"/>
      <c r="K73" s="141"/>
      <c r="L73" s="141"/>
      <c r="M73" s="141"/>
      <c r="N73" s="141"/>
      <c r="O73" s="141"/>
      <c r="P73" s="141"/>
      <c r="Q73" s="141"/>
    </row>
    <row r="74" spans="1:17" ht="11.25">
      <c r="A74" s="141"/>
      <c r="B74" s="21" t="s">
        <v>68</v>
      </c>
      <c r="C74" s="29" t="s">
        <v>49</v>
      </c>
      <c r="D74" s="29" t="s">
        <v>50</v>
      </c>
      <c r="E74" s="29" t="s">
        <v>51</v>
      </c>
      <c r="F74" s="29" t="s">
        <v>52</v>
      </c>
      <c r="G74" s="29" t="s">
        <v>53</v>
      </c>
      <c r="H74" s="29" t="s">
        <v>54</v>
      </c>
      <c r="I74" s="29" t="s">
        <v>55</v>
      </c>
      <c r="J74" s="29" t="s">
        <v>56</v>
      </c>
      <c r="K74" s="29" t="s">
        <v>57</v>
      </c>
      <c r="L74" s="29" t="s">
        <v>58</v>
      </c>
      <c r="M74" s="29" t="s">
        <v>59</v>
      </c>
      <c r="N74" s="29" t="s">
        <v>60</v>
      </c>
      <c r="O74" s="29" t="s">
        <v>61</v>
      </c>
      <c r="P74" s="29" t="s">
        <v>62</v>
      </c>
      <c r="Q74" s="29" t="s">
        <v>63</v>
      </c>
    </row>
    <row r="75" spans="1:17" ht="11.25">
      <c r="A75" s="141" t="s">
        <v>264</v>
      </c>
      <c r="B75" s="142">
        <f>SUM(C75:Q75)</f>
        <v>3042609.5999999996</v>
      </c>
      <c r="C75" s="143">
        <v>83859</v>
      </c>
      <c r="D75" s="143">
        <v>30518.1</v>
      </c>
      <c r="E75" s="143">
        <v>43094.4</v>
      </c>
      <c r="F75" s="143">
        <v>304529.3</v>
      </c>
      <c r="G75" s="143">
        <v>543964.6</v>
      </c>
      <c r="H75" s="143">
        <v>248619</v>
      </c>
      <c r="I75" s="143">
        <v>131625.5</v>
      </c>
      <c r="J75" s="143">
        <v>70273.1</v>
      </c>
      <c r="K75" s="143">
        <v>301316.2</v>
      </c>
      <c r="L75" s="143">
        <v>2586.4</v>
      </c>
      <c r="M75" s="143">
        <v>33882.4</v>
      </c>
      <c r="N75" s="143">
        <v>88797.4</v>
      </c>
      <c r="O75" s="143">
        <v>504790</v>
      </c>
      <c r="P75" s="143">
        <v>410934.2</v>
      </c>
      <c r="Q75" s="143">
        <v>243820</v>
      </c>
    </row>
    <row r="76" spans="1:17" ht="11.25">
      <c r="A76" s="141" t="s">
        <v>265</v>
      </c>
      <c r="B76" s="142">
        <f>SUM(C76:Q76)</f>
        <v>3151011.4</v>
      </c>
      <c r="C76" s="143">
        <v>83859</v>
      </c>
      <c r="D76" s="143">
        <v>30518.1</v>
      </c>
      <c r="E76" s="143">
        <v>43094.4</v>
      </c>
      <c r="F76" s="143">
        <v>304529.3</v>
      </c>
      <c r="G76" s="143">
        <v>543964.6</v>
      </c>
      <c r="H76" s="143">
        <v>357020.8</v>
      </c>
      <c r="I76" s="143">
        <v>131625.5</v>
      </c>
      <c r="J76" s="143">
        <v>70273.1</v>
      </c>
      <c r="K76" s="143">
        <v>301316.2</v>
      </c>
      <c r="L76" s="143">
        <v>2586.4</v>
      </c>
      <c r="M76" s="143">
        <v>33882.4</v>
      </c>
      <c r="N76" s="143">
        <v>88797.4</v>
      </c>
      <c r="O76" s="143">
        <v>504790</v>
      </c>
      <c r="P76" s="143">
        <v>410934.2</v>
      </c>
      <c r="Q76" s="143">
        <v>243820</v>
      </c>
    </row>
  </sheetData>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sheetPr codeName="Sheet6"/>
  <dimension ref="A1:R78"/>
  <sheetViews>
    <sheetView workbookViewId="0" topLeftCell="A10">
      <selection activeCell="H8" sqref="H8"/>
    </sheetView>
  </sheetViews>
  <sheetFormatPr defaultColWidth="9.25390625" defaultRowHeight="12.75"/>
  <cols>
    <col min="1" max="8" width="8.125" style="1" customWidth="1"/>
    <col min="9" max="9" width="10.625" style="1" customWidth="1"/>
    <col min="10" max="17" width="8.125" style="1" customWidth="1"/>
    <col min="18" max="16384" width="9.25390625" style="1" customWidth="1"/>
  </cols>
  <sheetData>
    <row r="1" ht="11.25">
      <c r="A1" s="3" t="s">
        <v>87</v>
      </c>
    </row>
    <row r="2" spans="1:13" ht="11.25">
      <c r="A2" s="23" t="s">
        <v>27</v>
      </c>
      <c r="M2" s="23"/>
    </row>
    <row r="3" spans="1:13" ht="11.25">
      <c r="A3" s="23"/>
      <c r="M3" s="23"/>
    </row>
    <row r="4" ht="11.25">
      <c r="A4" s="3" t="s">
        <v>80</v>
      </c>
    </row>
    <row r="5" spans="2:17" ht="11.25">
      <c r="B5" s="29" t="s">
        <v>68</v>
      </c>
      <c r="C5" s="29" t="s">
        <v>49</v>
      </c>
      <c r="D5" s="29" t="s">
        <v>50</v>
      </c>
      <c r="E5" s="29" t="s">
        <v>51</v>
      </c>
      <c r="F5" s="29" t="s">
        <v>52</v>
      </c>
      <c r="G5" s="29" t="s">
        <v>53</v>
      </c>
      <c r="H5" s="29" t="s">
        <v>54</v>
      </c>
      <c r="I5" s="29" t="s">
        <v>55</v>
      </c>
      <c r="J5" s="29" t="s">
        <v>56</v>
      </c>
      <c r="K5" s="29" t="s">
        <v>57</v>
      </c>
      <c r="L5" s="29" t="s">
        <v>58</v>
      </c>
      <c r="M5" s="29" t="s">
        <v>59</v>
      </c>
      <c r="N5" s="29" t="s">
        <v>60</v>
      </c>
      <c r="O5" s="29" t="s">
        <v>61</v>
      </c>
      <c r="P5" s="29" t="s">
        <v>62</v>
      </c>
      <c r="Q5" s="29" t="s">
        <v>63</v>
      </c>
    </row>
    <row r="6" spans="1:17" ht="11.25">
      <c r="A6" s="1">
        <v>1990</v>
      </c>
      <c r="B6" s="90" t="e">
        <f>SUM(C6:Q6)</f>
        <v>#N/A</v>
      </c>
      <c r="C6" s="90" t="e">
        <f>NA()</f>
        <v>#N/A</v>
      </c>
      <c r="D6" s="90">
        <v>140241</v>
      </c>
      <c r="E6" s="90">
        <v>70922</v>
      </c>
      <c r="F6" s="90">
        <v>77080</v>
      </c>
      <c r="G6" s="90">
        <v>808098</v>
      </c>
      <c r="H6" s="90" t="e">
        <f>NA()</f>
        <v>#N/A</v>
      </c>
      <c r="I6" s="90">
        <v>38312</v>
      </c>
      <c r="J6" s="90">
        <v>92289</v>
      </c>
      <c r="K6" s="90">
        <v>821185</v>
      </c>
      <c r="L6" s="90">
        <v>5091</v>
      </c>
      <c r="M6" s="90">
        <v>103845</v>
      </c>
      <c r="N6" s="90">
        <v>61538</v>
      </c>
      <c r="O6" s="90">
        <v>161369</v>
      </c>
      <c r="P6" s="90">
        <v>133558</v>
      </c>
      <c r="Q6" s="90">
        <v>382115</v>
      </c>
    </row>
    <row r="7" spans="1:17" ht="11.25">
      <c r="A7" s="1">
        <v>1991</v>
      </c>
      <c r="B7" s="90" t="e">
        <f aca="true" t="shared" si="0" ref="B7:B14">SUM(C7:Q7)</f>
        <v>#N/A</v>
      </c>
      <c r="C7" s="90" t="e">
        <f>NA()</f>
        <v>#N/A</v>
      </c>
      <c r="D7" s="90">
        <v>140822</v>
      </c>
      <c r="E7" s="90">
        <v>71042</v>
      </c>
      <c r="F7" s="90">
        <v>77283</v>
      </c>
      <c r="G7" s="90">
        <v>888440</v>
      </c>
      <c r="H7" s="90">
        <v>636272</v>
      </c>
      <c r="I7" s="90">
        <v>38606</v>
      </c>
      <c r="J7" s="90">
        <v>92327</v>
      </c>
      <c r="K7" s="90" t="e">
        <f>NA()</f>
        <v>#N/A</v>
      </c>
      <c r="L7" s="90">
        <v>5108</v>
      </c>
      <c r="M7" s="90">
        <v>104831</v>
      </c>
      <c r="N7" s="90">
        <v>59863</v>
      </c>
      <c r="O7" s="90">
        <v>162704</v>
      </c>
      <c r="P7" s="90">
        <v>135859</v>
      </c>
      <c r="Q7" s="90">
        <v>384205</v>
      </c>
    </row>
    <row r="8" spans="1:17" ht="11.25">
      <c r="A8" s="1">
        <v>1992</v>
      </c>
      <c r="B8" s="90" t="e">
        <f t="shared" si="0"/>
        <v>#N/A</v>
      </c>
      <c r="C8" s="90" t="e">
        <f>NA()</f>
        <v>#N/A</v>
      </c>
      <c r="D8" s="90">
        <v>141629</v>
      </c>
      <c r="E8" s="90">
        <v>71040</v>
      </c>
      <c r="F8" s="90">
        <v>77409</v>
      </c>
      <c r="G8" s="90">
        <v>915651</v>
      </c>
      <c r="H8" s="90">
        <v>639805</v>
      </c>
      <c r="I8" s="90">
        <v>38606</v>
      </c>
      <c r="J8" s="90">
        <v>91504</v>
      </c>
      <c r="K8" s="90" t="e">
        <f>NA()</f>
        <v>#N/A</v>
      </c>
      <c r="L8" s="90">
        <v>5113</v>
      </c>
      <c r="M8" s="90">
        <v>105817</v>
      </c>
      <c r="N8" s="90">
        <v>66095</v>
      </c>
      <c r="O8" s="90">
        <v>158049</v>
      </c>
      <c r="P8" s="90">
        <v>134962</v>
      </c>
      <c r="Q8" s="90">
        <v>386528</v>
      </c>
    </row>
    <row r="9" spans="1:17" ht="11.25">
      <c r="A9" s="1">
        <v>1993</v>
      </c>
      <c r="B9" s="90" t="e">
        <f t="shared" si="0"/>
        <v>#N/A</v>
      </c>
      <c r="C9" s="90">
        <v>106274</v>
      </c>
      <c r="D9" s="90">
        <v>142430</v>
      </c>
      <c r="E9" s="90">
        <v>71111</v>
      </c>
      <c r="F9" s="90">
        <v>77499</v>
      </c>
      <c r="G9" s="90">
        <v>915826</v>
      </c>
      <c r="H9" s="90">
        <v>645623</v>
      </c>
      <c r="I9" s="90">
        <v>38606</v>
      </c>
      <c r="J9" s="90">
        <v>91504</v>
      </c>
      <c r="K9" s="90" t="e">
        <f>NA()</f>
        <v>#N/A</v>
      </c>
      <c r="L9" s="90">
        <v>5134</v>
      </c>
      <c r="M9" s="90">
        <v>105800</v>
      </c>
      <c r="N9" s="90">
        <v>67969</v>
      </c>
      <c r="O9" s="90">
        <v>159864</v>
      </c>
      <c r="P9" s="90">
        <v>134920</v>
      </c>
      <c r="Q9" s="90">
        <v>388451</v>
      </c>
    </row>
    <row r="10" spans="1:17" ht="11.25">
      <c r="A10" s="1">
        <v>1994</v>
      </c>
      <c r="B10" s="90">
        <f t="shared" si="0"/>
        <v>3846329</v>
      </c>
      <c r="C10" s="90">
        <v>106268</v>
      </c>
      <c r="D10" s="90">
        <v>143175</v>
      </c>
      <c r="E10" s="90">
        <v>71255</v>
      </c>
      <c r="F10" s="90">
        <v>77644</v>
      </c>
      <c r="G10" s="90">
        <v>964613</v>
      </c>
      <c r="H10" s="90">
        <v>647027</v>
      </c>
      <c r="I10" s="90">
        <v>38606</v>
      </c>
      <c r="J10" s="90">
        <v>91504</v>
      </c>
      <c r="K10" s="90">
        <v>833643</v>
      </c>
      <c r="L10" s="90">
        <v>5136</v>
      </c>
      <c r="M10" s="90">
        <v>108967</v>
      </c>
      <c r="N10" s="90">
        <v>72206</v>
      </c>
      <c r="O10" s="90">
        <v>162196</v>
      </c>
      <c r="P10" s="90">
        <v>135014</v>
      </c>
      <c r="Q10" s="90">
        <v>389075</v>
      </c>
    </row>
    <row r="11" spans="1:17" ht="11.25">
      <c r="A11" s="1">
        <v>1995</v>
      </c>
      <c r="B11" s="90">
        <f t="shared" si="0"/>
        <v>3841255</v>
      </c>
      <c r="C11" s="90">
        <v>106311</v>
      </c>
      <c r="D11" s="90">
        <v>143175</v>
      </c>
      <c r="E11" s="90">
        <v>71321</v>
      </c>
      <c r="F11" s="90">
        <v>77722</v>
      </c>
      <c r="G11" s="90">
        <v>959372</v>
      </c>
      <c r="H11" s="90">
        <v>647283</v>
      </c>
      <c r="I11" s="97">
        <f>+I$10</f>
        <v>38606</v>
      </c>
      <c r="J11" s="90">
        <v>92430</v>
      </c>
      <c r="K11" s="90">
        <v>826573</v>
      </c>
      <c r="L11" s="90">
        <v>5161</v>
      </c>
      <c r="M11" s="90">
        <v>113351</v>
      </c>
      <c r="N11" s="90">
        <v>68732</v>
      </c>
      <c r="O11" s="90">
        <v>162617</v>
      </c>
      <c r="P11" s="90">
        <v>137495</v>
      </c>
      <c r="Q11" s="90">
        <v>391106</v>
      </c>
    </row>
    <row r="12" spans="1:17" ht="11.25">
      <c r="A12" s="1">
        <v>1996</v>
      </c>
      <c r="B12" s="90">
        <f t="shared" si="0"/>
        <v>3861627</v>
      </c>
      <c r="C12" s="90">
        <v>106348</v>
      </c>
      <c r="D12" s="90">
        <v>143800</v>
      </c>
      <c r="E12" s="90">
        <v>71336</v>
      </c>
      <c r="F12" s="90">
        <v>77782</v>
      </c>
      <c r="G12" s="90">
        <v>969157</v>
      </c>
      <c r="H12" s="90">
        <v>649499</v>
      </c>
      <c r="I12" s="97">
        <f>+I$10</f>
        <v>38606</v>
      </c>
      <c r="J12" s="90">
        <v>92650</v>
      </c>
      <c r="K12" s="90">
        <v>830035</v>
      </c>
      <c r="L12" s="90">
        <v>5171</v>
      </c>
      <c r="M12" s="90">
        <v>115617</v>
      </c>
      <c r="N12" s="90">
        <v>68732</v>
      </c>
      <c r="O12" s="90">
        <v>162100</v>
      </c>
      <c r="P12" s="90">
        <v>137865</v>
      </c>
      <c r="Q12" s="90">
        <v>392929</v>
      </c>
    </row>
    <row r="13" spans="1:17" ht="11.25">
      <c r="A13" s="1">
        <v>1997</v>
      </c>
      <c r="B13" s="90">
        <f t="shared" si="0"/>
        <v>3878171</v>
      </c>
      <c r="C13" s="90">
        <v>106352</v>
      </c>
      <c r="D13" s="90">
        <v>144914</v>
      </c>
      <c r="E13" s="90">
        <v>71437</v>
      </c>
      <c r="F13" s="90">
        <v>77796</v>
      </c>
      <c r="G13" s="90">
        <v>973510</v>
      </c>
      <c r="H13" s="90">
        <v>649497</v>
      </c>
      <c r="I13" s="97">
        <f>+I$10</f>
        <v>38606</v>
      </c>
      <c r="J13" s="90">
        <v>95838</v>
      </c>
      <c r="K13" s="90">
        <v>834747</v>
      </c>
      <c r="L13" s="90">
        <v>5179</v>
      </c>
      <c r="M13" s="90">
        <v>116093</v>
      </c>
      <c r="N13" s="90">
        <v>68770</v>
      </c>
      <c r="O13" s="90">
        <v>162795</v>
      </c>
      <c r="P13" s="90">
        <v>138307</v>
      </c>
      <c r="Q13" s="90">
        <v>394330</v>
      </c>
    </row>
    <row r="14" spans="1:17" ht="11.25">
      <c r="A14" s="1">
        <v>1998</v>
      </c>
      <c r="B14" s="90">
        <f t="shared" si="0"/>
        <v>3887638</v>
      </c>
      <c r="C14" s="90">
        <v>106361</v>
      </c>
      <c r="D14" s="90">
        <v>145850</v>
      </c>
      <c r="E14" s="90">
        <v>71462</v>
      </c>
      <c r="F14" s="90">
        <v>77894</v>
      </c>
      <c r="G14" s="90">
        <v>980367</v>
      </c>
      <c r="H14" s="90">
        <v>649088</v>
      </c>
      <c r="I14" s="97">
        <f>+I$10</f>
        <v>38606</v>
      </c>
      <c r="J14" s="90">
        <v>95835</v>
      </c>
      <c r="K14" s="97">
        <f>+K13</f>
        <v>834747</v>
      </c>
      <c r="L14" s="90">
        <v>5179</v>
      </c>
      <c r="M14" s="97">
        <f>+M13</f>
        <v>116093</v>
      </c>
      <c r="N14" s="97">
        <f>+N13</f>
        <v>68770</v>
      </c>
      <c r="O14" s="90">
        <v>163273</v>
      </c>
      <c r="P14" s="90">
        <v>138032</v>
      </c>
      <c r="Q14" s="90">
        <v>396081</v>
      </c>
    </row>
    <row r="15" spans="2:17" ht="11.25">
      <c r="B15" s="90"/>
      <c r="C15" s="90"/>
      <c r="D15" s="90"/>
      <c r="E15" s="90"/>
      <c r="F15" s="90"/>
      <c r="G15" s="90"/>
      <c r="H15" s="90"/>
      <c r="I15" s="90"/>
      <c r="J15" s="90"/>
      <c r="K15" s="90"/>
      <c r="L15" s="90"/>
      <c r="M15" s="90"/>
      <c r="N15" s="90"/>
      <c r="O15" s="90"/>
      <c r="P15" s="90"/>
      <c r="Q15" s="90"/>
    </row>
    <row r="16" spans="1:17" ht="11.25">
      <c r="A16" s="31" t="s">
        <v>260</v>
      </c>
      <c r="B16" s="140" t="s">
        <v>261</v>
      </c>
      <c r="C16" s="90"/>
      <c r="D16" s="90"/>
      <c r="E16" s="90"/>
      <c r="F16" s="90"/>
      <c r="G16" s="90"/>
      <c r="H16" s="90"/>
      <c r="I16" s="90"/>
      <c r="J16" s="90"/>
      <c r="K16" s="90"/>
      <c r="L16" s="90"/>
      <c r="M16" s="90"/>
      <c r="N16" s="90"/>
      <c r="O16" s="90"/>
      <c r="P16" s="90"/>
      <c r="Q16" s="90"/>
    </row>
    <row r="17" spans="2:17" ht="11.25">
      <c r="B17" s="90"/>
      <c r="C17" s="90"/>
      <c r="D17" s="90"/>
      <c r="E17" s="90"/>
      <c r="F17" s="90"/>
      <c r="G17" s="90"/>
      <c r="H17" s="90"/>
      <c r="I17" s="90"/>
      <c r="J17" s="90"/>
      <c r="K17" s="90"/>
      <c r="L17" s="90"/>
      <c r="M17" s="90"/>
      <c r="N17" s="90"/>
      <c r="O17" s="90"/>
      <c r="P17" s="90"/>
      <c r="Q17" s="90"/>
    </row>
    <row r="18" spans="2:17" ht="11.25">
      <c r="B18" s="90"/>
      <c r="C18" s="90"/>
      <c r="D18" s="90"/>
      <c r="E18" s="90"/>
      <c r="F18" s="90"/>
      <c r="G18" s="90"/>
      <c r="H18" s="90"/>
      <c r="I18" s="90"/>
      <c r="J18" s="90"/>
      <c r="K18" s="90"/>
      <c r="L18" s="90"/>
      <c r="M18" s="90"/>
      <c r="N18" s="90"/>
      <c r="O18" s="90"/>
      <c r="P18" s="90"/>
      <c r="Q18" s="90"/>
    </row>
    <row r="19" s="31" customFormat="1" ht="11.25">
      <c r="A19" s="30" t="s">
        <v>94</v>
      </c>
    </row>
    <row r="20" spans="1:15" s="31" customFormat="1" ht="11.25">
      <c r="A20" s="32" t="s">
        <v>27</v>
      </c>
      <c r="C20" s="33"/>
      <c r="D20" s="33"/>
      <c r="E20" s="33"/>
      <c r="F20" s="33"/>
      <c r="G20" s="33"/>
      <c r="H20" s="33"/>
      <c r="I20" s="33"/>
      <c r="J20" s="33"/>
      <c r="K20" s="33"/>
      <c r="L20" s="33"/>
      <c r="M20" s="33"/>
      <c r="N20" s="33"/>
      <c r="O20" s="33"/>
    </row>
    <row r="21" s="31" customFormat="1" ht="11.25">
      <c r="A21" s="34"/>
    </row>
    <row r="22" s="31" customFormat="1" ht="11.25">
      <c r="A22" s="34"/>
    </row>
    <row r="23" spans="2:17" s="31" customFormat="1" ht="11.25">
      <c r="B23" s="31" t="s">
        <v>236</v>
      </c>
      <c r="C23" s="31" t="s">
        <v>49</v>
      </c>
      <c r="D23" s="31" t="s">
        <v>50</v>
      </c>
      <c r="E23" s="31" t="s">
        <v>51</v>
      </c>
      <c r="F23" s="31" t="s">
        <v>52</v>
      </c>
      <c r="G23" s="31" t="s">
        <v>53</v>
      </c>
      <c r="H23" s="31" t="s">
        <v>54</v>
      </c>
      <c r="I23" s="31" t="s">
        <v>55</v>
      </c>
      <c r="J23" s="31" t="s">
        <v>56</v>
      </c>
      <c r="K23" s="31" t="s">
        <v>57</v>
      </c>
      <c r="L23" s="31" t="s">
        <v>58</v>
      </c>
      <c r="M23" s="31" t="s">
        <v>59</v>
      </c>
      <c r="N23" s="31" t="s">
        <v>60</v>
      </c>
      <c r="O23" s="31" t="s">
        <v>61</v>
      </c>
      <c r="P23" s="31" t="s">
        <v>62</v>
      </c>
      <c r="Q23" s="31" t="s">
        <v>63</v>
      </c>
    </row>
    <row r="24" spans="1:18" s="31" customFormat="1" ht="11.25">
      <c r="A24" s="34">
        <v>1990</v>
      </c>
      <c r="B24" s="116">
        <f aca="true" t="shared" si="1" ref="B24:B33">SUM(C24:Q24)</f>
        <v>39800</v>
      </c>
      <c r="C24" s="113">
        <v>1445</v>
      </c>
      <c r="D24" s="113">
        <v>1666</v>
      </c>
      <c r="E24" s="113">
        <v>653</v>
      </c>
      <c r="F24" s="113">
        <v>225</v>
      </c>
      <c r="G24" s="113">
        <v>6824</v>
      </c>
      <c r="H24" s="113">
        <v>10854</v>
      </c>
      <c r="I24" s="137">
        <v>190</v>
      </c>
      <c r="J24" s="113">
        <v>26</v>
      </c>
      <c r="K24" s="113">
        <v>6185</v>
      </c>
      <c r="L24" s="113">
        <v>78</v>
      </c>
      <c r="M24" s="113">
        <v>2092</v>
      </c>
      <c r="N24" s="113">
        <v>316</v>
      </c>
      <c r="O24" s="113">
        <v>5126</v>
      </c>
      <c r="P24" s="113">
        <v>939</v>
      </c>
      <c r="Q24" s="113">
        <v>3181</v>
      </c>
      <c r="R24" s="114"/>
    </row>
    <row r="25" spans="1:17" s="31" customFormat="1" ht="11.25">
      <c r="A25" s="34">
        <v>1991</v>
      </c>
      <c r="B25" s="116">
        <f t="shared" si="1"/>
        <v>41298</v>
      </c>
      <c r="C25" s="113">
        <v>1499</v>
      </c>
      <c r="D25" s="113">
        <v>1650</v>
      </c>
      <c r="E25" s="113">
        <v>653</v>
      </c>
      <c r="F25" s="113">
        <v>249</v>
      </c>
      <c r="G25" s="113">
        <v>7080</v>
      </c>
      <c r="H25" s="113">
        <v>10955</v>
      </c>
      <c r="I25" s="137">
        <v>225</v>
      </c>
      <c r="J25" s="113">
        <v>32</v>
      </c>
      <c r="K25" s="113">
        <v>6301</v>
      </c>
      <c r="L25" s="113">
        <v>95</v>
      </c>
      <c r="M25" s="113">
        <v>2105</v>
      </c>
      <c r="N25" s="113">
        <v>474</v>
      </c>
      <c r="O25" s="113">
        <v>5801</v>
      </c>
      <c r="P25" s="113">
        <v>968</v>
      </c>
      <c r="Q25" s="113">
        <v>3211</v>
      </c>
    </row>
    <row r="26" spans="1:17" s="31" customFormat="1" ht="11.25">
      <c r="A26" s="34">
        <v>1992</v>
      </c>
      <c r="B26" s="116">
        <f t="shared" si="1"/>
        <v>43252</v>
      </c>
      <c r="C26" s="113">
        <v>1554</v>
      </c>
      <c r="D26" s="113">
        <v>1658</v>
      </c>
      <c r="E26" s="113">
        <v>696</v>
      </c>
      <c r="F26" s="113">
        <v>318</v>
      </c>
      <c r="G26" s="113">
        <v>7408</v>
      </c>
      <c r="H26" s="113">
        <v>11013</v>
      </c>
      <c r="I26" s="137">
        <v>280</v>
      </c>
      <c r="J26" s="113">
        <v>32</v>
      </c>
      <c r="K26" s="113">
        <v>6301</v>
      </c>
      <c r="L26" s="113">
        <v>100</v>
      </c>
      <c r="M26" s="113">
        <v>2134</v>
      </c>
      <c r="N26" s="113">
        <v>519</v>
      </c>
      <c r="O26" s="113">
        <v>6988</v>
      </c>
      <c r="P26" s="113">
        <v>1005</v>
      </c>
      <c r="Q26" s="113">
        <v>3246</v>
      </c>
    </row>
    <row r="27" spans="1:17" s="31" customFormat="1" ht="11.25">
      <c r="A27" s="34">
        <v>1993</v>
      </c>
      <c r="B27" s="116">
        <f t="shared" si="1"/>
        <v>44333</v>
      </c>
      <c r="C27" s="113">
        <v>1554</v>
      </c>
      <c r="D27" s="113">
        <v>1665</v>
      </c>
      <c r="E27" s="113">
        <v>737</v>
      </c>
      <c r="F27" s="113">
        <v>337</v>
      </c>
      <c r="G27" s="113">
        <v>7614</v>
      </c>
      <c r="H27" s="113">
        <v>11080</v>
      </c>
      <c r="I27" s="137">
        <v>330</v>
      </c>
      <c r="J27" s="113">
        <v>53</v>
      </c>
      <c r="K27" s="113">
        <v>6396</v>
      </c>
      <c r="L27" s="113">
        <v>121</v>
      </c>
      <c r="M27" s="113">
        <v>2150</v>
      </c>
      <c r="N27" s="113">
        <v>579</v>
      </c>
      <c r="O27" s="113">
        <v>7404</v>
      </c>
      <c r="P27" s="113">
        <v>1061</v>
      </c>
      <c r="Q27" s="113">
        <v>3252</v>
      </c>
    </row>
    <row r="28" spans="1:17" s="31" customFormat="1" ht="11.25">
      <c r="A28" s="34">
        <v>1994</v>
      </c>
      <c r="B28" s="116">
        <f t="shared" si="1"/>
        <v>44160</v>
      </c>
      <c r="C28" s="113">
        <v>1589</v>
      </c>
      <c r="D28" s="113">
        <v>1666</v>
      </c>
      <c r="E28" s="113">
        <v>786</v>
      </c>
      <c r="F28" s="113">
        <v>388</v>
      </c>
      <c r="G28" s="113">
        <v>7956</v>
      </c>
      <c r="H28" s="113">
        <v>11143</v>
      </c>
      <c r="I28" s="137">
        <v>380</v>
      </c>
      <c r="J28" s="113">
        <v>72</v>
      </c>
      <c r="K28" s="113">
        <v>6375</v>
      </c>
      <c r="L28" s="113">
        <v>123</v>
      </c>
      <c r="M28" s="113">
        <v>2167</v>
      </c>
      <c r="N28" s="113">
        <v>587</v>
      </c>
      <c r="O28" s="113">
        <v>6497</v>
      </c>
      <c r="P28" s="113">
        <v>1145</v>
      </c>
      <c r="Q28" s="113">
        <v>3286</v>
      </c>
    </row>
    <row r="29" spans="1:17" s="31" customFormat="1" ht="11.25">
      <c r="A29" s="34">
        <v>1995</v>
      </c>
      <c r="B29" s="116">
        <f t="shared" si="1"/>
        <v>45390</v>
      </c>
      <c r="C29" s="113">
        <v>1596</v>
      </c>
      <c r="D29" s="113">
        <v>1674</v>
      </c>
      <c r="E29" s="113">
        <v>796</v>
      </c>
      <c r="F29" s="113">
        <v>394</v>
      </c>
      <c r="G29" s="113">
        <v>8275</v>
      </c>
      <c r="H29" s="113">
        <v>11190</v>
      </c>
      <c r="I29" s="137">
        <v>420</v>
      </c>
      <c r="J29" s="113">
        <v>70</v>
      </c>
      <c r="K29" s="113">
        <v>6435</v>
      </c>
      <c r="L29" s="113">
        <v>115</v>
      </c>
      <c r="M29" s="113">
        <v>2207</v>
      </c>
      <c r="N29" s="113">
        <v>687</v>
      </c>
      <c r="O29" s="113">
        <v>6962</v>
      </c>
      <c r="P29" s="113">
        <v>1262</v>
      </c>
      <c r="Q29" s="113">
        <v>3307</v>
      </c>
    </row>
    <row r="30" spans="1:17" s="31" customFormat="1" ht="11.25">
      <c r="A30" s="34">
        <v>1996</v>
      </c>
      <c r="B30" s="116">
        <f t="shared" si="1"/>
        <v>46546</v>
      </c>
      <c r="C30" s="113">
        <v>1607</v>
      </c>
      <c r="D30" s="113">
        <v>1679</v>
      </c>
      <c r="E30" s="113">
        <v>832</v>
      </c>
      <c r="F30" s="113">
        <v>431</v>
      </c>
      <c r="G30" s="113">
        <v>8596</v>
      </c>
      <c r="H30" s="113">
        <v>11246</v>
      </c>
      <c r="I30" s="137">
        <v>470</v>
      </c>
      <c r="J30" s="113">
        <v>80</v>
      </c>
      <c r="K30" s="113">
        <v>6565</v>
      </c>
      <c r="L30" s="113">
        <v>118</v>
      </c>
      <c r="M30" s="113">
        <v>2223</v>
      </c>
      <c r="N30" s="113">
        <v>710</v>
      </c>
      <c r="O30" s="113">
        <v>7295</v>
      </c>
      <c r="P30" s="113">
        <v>1350</v>
      </c>
      <c r="Q30" s="113">
        <v>3344</v>
      </c>
    </row>
    <row r="31" spans="1:17" s="31" customFormat="1" ht="11.25">
      <c r="A31" s="34">
        <v>1997</v>
      </c>
      <c r="B31" s="116">
        <f t="shared" si="1"/>
        <v>47532</v>
      </c>
      <c r="C31" s="113">
        <v>1613</v>
      </c>
      <c r="D31" s="113">
        <v>1682</v>
      </c>
      <c r="E31" s="113">
        <v>855</v>
      </c>
      <c r="F31" s="113">
        <v>444</v>
      </c>
      <c r="G31" s="113">
        <v>8864</v>
      </c>
      <c r="H31" s="113">
        <v>11309</v>
      </c>
      <c r="I31" s="137">
        <v>470</v>
      </c>
      <c r="J31" s="113">
        <v>94</v>
      </c>
      <c r="K31" s="113">
        <v>6469</v>
      </c>
      <c r="L31" s="113">
        <v>115</v>
      </c>
      <c r="M31" s="113">
        <v>2235</v>
      </c>
      <c r="N31" s="113">
        <v>797</v>
      </c>
      <c r="O31" s="113">
        <v>7750</v>
      </c>
      <c r="P31" s="113">
        <v>1423</v>
      </c>
      <c r="Q31" s="113">
        <v>3412</v>
      </c>
    </row>
    <row r="32" spans="1:17" s="31" customFormat="1" ht="11.25">
      <c r="A32" s="34">
        <v>1998</v>
      </c>
      <c r="B32" s="116">
        <f t="shared" si="1"/>
        <v>49162</v>
      </c>
      <c r="C32" s="113">
        <v>1613</v>
      </c>
      <c r="D32" s="113">
        <v>1691</v>
      </c>
      <c r="E32" s="113">
        <v>873</v>
      </c>
      <c r="F32" s="113">
        <v>473</v>
      </c>
      <c r="G32" s="113">
        <v>9303</v>
      </c>
      <c r="H32" s="113">
        <v>11427</v>
      </c>
      <c r="I32" s="137">
        <v>470</v>
      </c>
      <c r="J32" s="113">
        <v>103</v>
      </c>
      <c r="K32" s="113">
        <v>6478</v>
      </c>
      <c r="L32" s="113">
        <v>115</v>
      </c>
      <c r="M32" s="97">
        <f>+M31</f>
        <v>2235</v>
      </c>
      <c r="N32" s="113">
        <v>1252</v>
      </c>
      <c r="O32" s="113">
        <v>8269</v>
      </c>
      <c r="P32" s="113">
        <v>1439</v>
      </c>
      <c r="Q32" s="113">
        <v>3421</v>
      </c>
    </row>
    <row r="33" spans="1:17" s="31" customFormat="1" ht="11.25">
      <c r="A33" s="34">
        <v>1999</v>
      </c>
      <c r="B33" s="116">
        <f t="shared" si="1"/>
        <v>50458</v>
      </c>
      <c r="C33" s="113">
        <v>1634</v>
      </c>
      <c r="D33" s="113">
        <v>1702</v>
      </c>
      <c r="E33" s="113">
        <v>892</v>
      </c>
      <c r="F33" s="113">
        <v>512</v>
      </c>
      <c r="G33" s="113">
        <v>9626</v>
      </c>
      <c r="H33" s="113">
        <v>11515</v>
      </c>
      <c r="I33" s="137">
        <v>470</v>
      </c>
      <c r="J33" s="113">
        <v>103</v>
      </c>
      <c r="K33" s="113">
        <v>6478</v>
      </c>
      <c r="L33" s="113">
        <v>115</v>
      </c>
      <c r="M33" s="97">
        <f>+M31</f>
        <v>2235</v>
      </c>
      <c r="N33" s="113">
        <v>1441</v>
      </c>
      <c r="O33" s="113">
        <v>8893</v>
      </c>
      <c r="P33" s="113">
        <v>1484</v>
      </c>
      <c r="Q33" s="113">
        <v>3358</v>
      </c>
    </row>
    <row r="34" s="31" customFormat="1" ht="11.25"/>
    <row r="35" spans="2:6" s="31" customFormat="1" ht="11.25">
      <c r="B35" s="31" t="s">
        <v>177</v>
      </c>
      <c r="C35" s="31" t="s">
        <v>237</v>
      </c>
      <c r="E35" s="31" t="s">
        <v>55</v>
      </c>
      <c r="F35" s="31" t="s">
        <v>68</v>
      </c>
    </row>
    <row r="36" spans="1:6" s="31" customFormat="1" ht="11.25">
      <c r="A36" s="34">
        <v>1990</v>
      </c>
      <c r="B36" s="114">
        <f aca="true" t="shared" si="2" ref="B36:B45">+C24+D24+E24+F24+G24+H24+J24+K24+L24+M24+N24+O24+P24+Q24</f>
        <v>39610</v>
      </c>
      <c r="F36" s="114">
        <f>+'manip_EU-infra'!I38+B36</f>
        <v>39800</v>
      </c>
    </row>
    <row r="37" spans="1:6" s="31" customFormat="1" ht="11.25">
      <c r="A37" s="34">
        <v>1991</v>
      </c>
      <c r="B37" s="114">
        <f t="shared" si="2"/>
        <v>41073</v>
      </c>
      <c r="F37" s="114">
        <f>+'manip_EU-infra'!I39+B37</f>
        <v>41298</v>
      </c>
    </row>
    <row r="38" spans="1:6" s="31" customFormat="1" ht="11.25">
      <c r="A38" s="34">
        <v>1992</v>
      </c>
      <c r="B38" s="114">
        <f t="shared" si="2"/>
        <v>42972</v>
      </c>
      <c r="F38" s="114">
        <f>+'manip_EU-infra'!I40+B38</f>
        <v>43252</v>
      </c>
    </row>
    <row r="39" spans="1:9" s="31" customFormat="1" ht="11.25">
      <c r="A39" s="34">
        <v>1993</v>
      </c>
      <c r="B39" s="114">
        <f t="shared" si="2"/>
        <v>44003</v>
      </c>
      <c r="F39" s="114">
        <f>+'manip_EU-infra'!I41+B39</f>
        <v>44333</v>
      </c>
      <c r="H39" s="31" t="s">
        <v>254</v>
      </c>
      <c r="I39" s="31" t="s">
        <v>255</v>
      </c>
    </row>
    <row r="40" spans="1:6" s="31" customFormat="1" ht="11.25">
      <c r="A40" s="34">
        <v>1994</v>
      </c>
      <c r="B40" s="114">
        <f t="shared" si="2"/>
        <v>43780</v>
      </c>
      <c r="F40" s="114">
        <f>+'manip_EU-infra'!I42+B40</f>
        <v>44160</v>
      </c>
    </row>
    <row r="41" spans="1:6" s="31" customFormat="1" ht="11.25">
      <c r="A41" s="34">
        <v>1995</v>
      </c>
      <c r="B41" s="114">
        <f t="shared" si="2"/>
        <v>44970</v>
      </c>
      <c r="F41" s="114">
        <f>+'manip_EU-infra'!I43+B41</f>
        <v>45390</v>
      </c>
    </row>
    <row r="42" spans="1:6" s="31" customFormat="1" ht="11.25">
      <c r="A42" s="34">
        <v>1996</v>
      </c>
      <c r="B42" s="114">
        <f t="shared" si="2"/>
        <v>46076</v>
      </c>
      <c r="F42" s="114">
        <f>+'manip_EU-infra'!I44+B42</f>
        <v>46546</v>
      </c>
    </row>
    <row r="43" spans="1:6" s="31" customFormat="1" ht="11.25">
      <c r="A43" s="34">
        <v>1997</v>
      </c>
      <c r="B43" s="114">
        <f t="shared" si="2"/>
        <v>47062</v>
      </c>
      <c r="F43" s="114">
        <f>+'manip_EU-infra'!I45+B43</f>
        <v>47532</v>
      </c>
    </row>
    <row r="44" spans="1:6" s="31" customFormat="1" ht="11.25">
      <c r="A44" s="34">
        <v>1998</v>
      </c>
      <c r="B44" s="114">
        <f t="shared" si="2"/>
        <v>48692</v>
      </c>
      <c r="F44" s="114">
        <f>+'manip_EU-infra'!I46+B44</f>
        <v>49162</v>
      </c>
    </row>
    <row r="45" spans="1:9" s="31" customFormat="1" ht="11.25">
      <c r="A45" s="34">
        <v>1999</v>
      </c>
      <c r="B45" s="114">
        <f t="shared" si="2"/>
        <v>49988</v>
      </c>
      <c r="F45" s="114">
        <f>+'manip_EU-infra'!I47+B45</f>
        <v>50458</v>
      </c>
      <c r="H45" s="114">
        <f>+F44-F36</f>
        <v>9362</v>
      </c>
      <c r="I45" s="31" t="s">
        <v>259</v>
      </c>
    </row>
    <row r="46" s="31" customFormat="1" ht="11.25"/>
    <row r="47" s="31" customFormat="1" ht="11.25"/>
    <row r="48" s="31" customFormat="1" ht="11.25">
      <c r="B48" s="115"/>
    </row>
    <row r="50" spans="1:2" ht="11.25">
      <c r="A50" s="1" t="s">
        <v>78</v>
      </c>
      <c r="B50" s="1" t="s">
        <v>81</v>
      </c>
    </row>
    <row r="51" spans="1:2" ht="11.25">
      <c r="A51" s="1" t="s">
        <v>82</v>
      </c>
      <c r="B51" s="1" t="s">
        <v>83</v>
      </c>
    </row>
    <row r="53" ht="11.25">
      <c r="A53" s="3" t="s">
        <v>85</v>
      </c>
    </row>
    <row r="54" spans="2:17" ht="11.25">
      <c r="B54" s="29" t="s">
        <v>68</v>
      </c>
      <c r="C54" s="29" t="s">
        <v>49</v>
      </c>
      <c r="D54" s="29" t="s">
        <v>50</v>
      </c>
      <c r="E54" s="29" t="s">
        <v>51</v>
      </c>
      <c r="F54" s="29" t="s">
        <v>52</v>
      </c>
      <c r="G54" s="29" t="s">
        <v>53</v>
      </c>
      <c r="H54" s="29" t="s">
        <v>54</v>
      </c>
      <c r="I54" s="29" t="s">
        <v>55</v>
      </c>
      <c r="J54" s="29" t="s">
        <v>56</v>
      </c>
      <c r="K54" s="29" t="s">
        <v>57</v>
      </c>
      <c r="L54" s="29" t="s">
        <v>58</v>
      </c>
      <c r="M54" s="29" t="s">
        <v>59</v>
      </c>
      <c r="N54" s="29" t="s">
        <v>60</v>
      </c>
      <c r="O54" s="29" t="s">
        <v>61</v>
      </c>
      <c r="P54" s="29" t="s">
        <v>62</v>
      </c>
      <c r="Q54" s="29" t="s">
        <v>63</v>
      </c>
    </row>
    <row r="55" spans="1:17" ht="11.25">
      <c r="A55" s="1">
        <v>1990</v>
      </c>
      <c r="B55" s="90" t="e">
        <f aca="true" t="shared" si="3" ref="B55:B63">SUM(C55:Q55)</f>
        <v>#N/A</v>
      </c>
      <c r="C55" s="90">
        <v>5624</v>
      </c>
      <c r="D55" s="90">
        <v>3479</v>
      </c>
      <c r="E55" s="90">
        <v>2344</v>
      </c>
      <c r="F55" s="90">
        <v>5873</v>
      </c>
      <c r="G55" s="90">
        <v>34070</v>
      </c>
      <c r="H55" s="90" t="e">
        <f>NA()</f>
        <v>#N/A</v>
      </c>
      <c r="I55" s="90">
        <v>2484</v>
      </c>
      <c r="J55" s="90">
        <v>1944</v>
      </c>
      <c r="K55" s="90">
        <v>16086</v>
      </c>
      <c r="L55" s="90">
        <v>271</v>
      </c>
      <c r="M55" s="90">
        <v>2780</v>
      </c>
      <c r="N55" s="90">
        <v>3127</v>
      </c>
      <c r="O55" s="90">
        <v>12560</v>
      </c>
      <c r="P55" s="90">
        <v>10801</v>
      </c>
      <c r="Q55" s="90" t="e">
        <f>NA()</f>
        <v>#N/A</v>
      </c>
    </row>
    <row r="56" spans="1:17" ht="11.25">
      <c r="A56" s="1">
        <v>1991</v>
      </c>
      <c r="B56" s="90">
        <f t="shared" si="3"/>
        <v>158978</v>
      </c>
      <c r="C56" s="90">
        <v>5624</v>
      </c>
      <c r="D56" s="90">
        <v>3466</v>
      </c>
      <c r="E56" s="90">
        <v>2344</v>
      </c>
      <c r="F56" s="90">
        <v>5874</v>
      </c>
      <c r="G56" s="90">
        <v>33446</v>
      </c>
      <c r="H56" s="90">
        <v>41113</v>
      </c>
      <c r="I56" s="90">
        <v>2484</v>
      </c>
      <c r="J56" s="90">
        <v>1944</v>
      </c>
      <c r="K56" s="90">
        <v>16066</v>
      </c>
      <c r="L56" s="90">
        <v>271</v>
      </c>
      <c r="M56" s="90">
        <v>2780</v>
      </c>
      <c r="N56" s="90">
        <v>3117</v>
      </c>
      <c r="O56" s="90">
        <v>12570</v>
      </c>
      <c r="P56" s="90">
        <v>10970</v>
      </c>
      <c r="Q56" s="90">
        <v>16909</v>
      </c>
    </row>
    <row r="57" spans="1:17" ht="11.25">
      <c r="A57" s="1">
        <v>1992</v>
      </c>
      <c r="B57" s="90">
        <f t="shared" si="3"/>
        <v>157088</v>
      </c>
      <c r="C57" s="90">
        <v>5605</v>
      </c>
      <c r="D57" s="90">
        <v>3432</v>
      </c>
      <c r="E57" s="90">
        <v>2344</v>
      </c>
      <c r="F57" s="90">
        <v>5874</v>
      </c>
      <c r="G57" s="90">
        <v>32731</v>
      </c>
      <c r="H57" s="90">
        <v>40815</v>
      </c>
      <c r="I57" s="90">
        <v>2484</v>
      </c>
      <c r="J57" s="90">
        <v>1944</v>
      </c>
      <c r="K57" s="90">
        <v>16112</v>
      </c>
      <c r="L57" s="90">
        <v>275</v>
      </c>
      <c r="M57" s="90">
        <v>2753</v>
      </c>
      <c r="N57" s="90">
        <v>3054</v>
      </c>
      <c r="O57" s="90">
        <v>13041</v>
      </c>
      <c r="P57" s="90">
        <v>9781</v>
      </c>
      <c r="Q57" s="90">
        <v>16843</v>
      </c>
    </row>
    <row r="58" spans="1:17" ht="11.25">
      <c r="A58" s="1">
        <v>1993</v>
      </c>
      <c r="B58" s="90">
        <f t="shared" si="3"/>
        <v>155858</v>
      </c>
      <c r="C58" s="90">
        <v>5600</v>
      </c>
      <c r="D58" s="90">
        <v>3410</v>
      </c>
      <c r="E58" s="90">
        <v>2349</v>
      </c>
      <c r="F58" s="90">
        <v>5864</v>
      </c>
      <c r="G58" s="90">
        <v>32579</v>
      </c>
      <c r="H58" s="90">
        <v>40397</v>
      </c>
      <c r="I58" s="90">
        <v>2474</v>
      </c>
      <c r="J58" s="90">
        <v>1947</v>
      </c>
      <c r="K58" s="90">
        <v>15942</v>
      </c>
      <c r="L58" s="90">
        <v>275</v>
      </c>
      <c r="M58" s="90">
        <v>2757</v>
      </c>
      <c r="N58" s="90">
        <v>3063</v>
      </c>
      <c r="O58" s="90">
        <v>12601</v>
      </c>
      <c r="P58" s="90">
        <v>9746</v>
      </c>
      <c r="Q58" s="90">
        <v>16854</v>
      </c>
    </row>
    <row r="59" spans="1:17" ht="11.25">
      <c r="A59" s="1">
        <v>1994</v>
      </c>
      <c r="B59" s="90">
        <f t="shared" si="3"/>
        <v>156695</v>
      </c>
      <c r="C59" s="90">
        <v>5636</v>
      </c>
      <c r="D59" s="90">
        <v>3396</v>
      </c>
      <c r="E59" s="90">
        <v>2349</v>
      </c>
      <c r="F59" s="90">
        <v>5859</v>
      </c>
      <c r="G59" s="90">
        <v>32275</v>
      </c>
      <c r="H59" s="90">
        <v>41257</v>
      </c>
      <c r="I59" s="90">
        <v>2474</v>
      </c>
      <c r="J59" s="90">
        <v>1947</v>
      </c>
      <c r="K59" s="90">
        <v>16002</v>
      </c>
      <c r="L59" s="90">
        <v>275</v>
      </c>
      <c r="M59" s="90">
        <v>2757</v>
      </c>
      <c r="N59" s="90">
        <v>3070</v>
      </c>
      <c r="O59" s="90">
        <v>12646</v>
      </c>
      <c r="P59" s="90">
        <v>9661</v>
      </c>
      <c r="Q59" s="90">
        <v>17091</v>
      </c>
    </row>
    <row r="60" spans="1:17" ht="11.25">
      <c r="A60" s="1">
        <v>1995</v>
      </c>
      <c r="B60" s="90">
        <f t="shared" si="3"/>
        <v>156469</v>
      </c>
      <c r="C60" s="90">
        <v>5672</v>
      </c>
      <c r="D60" s="90">
        <v>3368</v>
      </c>
      <c r="E60" s="90">
        <v>2349</v>
      </c>
      <c r="F60" s="90">
        <v>5859</v>
      </c>
      <c r="G60" s="90">
        <v>31939</v>
      </c>
      <c r="H60" s="90">
        <v>41718</v>
      </c>
      <c r="I60" s="90">
        <v>2474</v>
      </c>
      <c r="J60" s="90">
        <v>1945</v>
      </c>
      <c r="K60" s="90">
        <v>16005</v>
      </c>
      <c r="L60" s="90">
        <v>275</v>
      </c>
      <c r="M60" s="90">
        <v>2739</v>
      </c>
      <c r="N60" s="90">
        <v>3065</v>
      </c>
      <c r="O60" s="90">
        <v>12280</v>
      </c>
      <c r="P60" s="90">
        <v>9782</v>
      </c>
      <c r="Q60" s="90">
        <v>16999</v>
      </c>
    </row>
    <row r="61" spans="1:17" ht="11.25">
      <c r="A61" s="1">
        <v>1996</v>
      </c>
      <c r="B61" s="90">
        <f t="shared" si="3"/>
        <v>155645</v>
      </c>
      <c r="C61" s="90">
        <v>5672</v>
      </c>
      <c r="D61" s="90">
        <v>3380</v>
      </c>
      <c r="E61" s="90">
        <v>2349</v>
      </c>
      <c r="F61" s="90">
        <v>5860</v>
      </c>
      <c r="G61" s="90">
        <v>31852</v>
      </c>
      <c r="H61" s="90">
        <v>40826</v>
      </c>
      <c r="I61" s="90">
        <v>2474</v>
      </c>
      <c r="J61" s="90">
        <v>1954</v>
      </c>
      <c r="K61" s="90">
        <v>16014</v>
      </c>
      <c r="L61" s="90">
        <v>274</v>
      </c>
      <c r="M61" s="90">
        <v>2813</v>
      </c>
      <c r="N61" s="90">
        <v>3071</v>
      </c>
      <c r="O61" s="90">
        <v>12284</v>
      </c>
      <c r="P61" s="90">
        <v>9821</v>
      </c>
      <c r="Q61" s="90">
        <v>17001</v>
      </c>
    </row>
    <row r="62" spans="1:17" ht="11.25">
      <c r="A62" s="1">
        <v>1997</v>
      </c>
      <c r="B62" s="90">
        <f t="shared" si="3"/>
        <v>153063</v>
      </c>
      <c r="C62" s="90">
        <v>5672</v>
      </c>
      <c r="D62" s="90">
        <v>3422</v>
      </c>
      <c r="E62" s="90">
        <v>2248</v>
      </c>
      <c r="F62" s="90">
        <v>5865</v>
      </c>
      <c r="G62" s="90">
        <v>31821</v>
      </c>
      <c r="H62" s="90">
        <v>38385</v>
      </c>
      <c r="I62" s="90">
        <v>2503</v>
      </c>
      <c r="J62" s="90">
        <v>1908</v>
      </c>
      <c r="K62" s="90">
        <v>16030</v>
      </c>
      <c r="L62" s="90">
        <v>274</v>
      </c>
      <c r="M62" s="90">
        <v>2805</v>
      </c>
      <c r="N62" s="90">
        <v>3038</v>
      </c>
      <c r="O62" s="90">
        <v>12303</v>
      </c>
      <c r="P62" s="90">
        <v>9798</v>
      </c>
      <c r="Q62" s="90">
        <v>16991</v>
      </c>
    </row>
    <row r="63" spans="1:17" ht="11.25">
      <c r="A63" s="1">
        <v>1998</v>
      </c>
      <c r="B63" s="90">
        <f t="shared" si="3"/>
        <v>152456</v>
      </c>
      <c r="C63" s="90">
        <v>5643</v>
      </c>
      <c r="D63" s="90">
        <v>3470</v>
      </c>
      <c r="E63" s="90">
        <v>2264</v>
      </c>
      <c r="F63" s="90">
        <v>5867</v>
      </c>
      <c r="G63" s="90">
        <v>31770</v>
      </c>
      <c r="H63" s="90">
        <v>38126</v>
      </c>
      <c r="I63" s="90">
        <v>2299</v>
      </c>
      <c r="J63" s="90">
        <v>1909</v>
      </c>
      <c r="K63" s="90">
        <v>16080</v>
      </c>
      <c r="L63" s="90">
        <v>274</v>
      </c>
      <c r="M63" s="90">
        <v>2808</v>
      </c>
      <c r="N63" s="90">
        <v>2794</v>
      </c>
      <c r="O63" s="90">
        <v>12303</v>
      </c>
      <c r="P63" s="90">
        <v>9855</v>
      </c>
      <c r="Q63" s="90">
        <v>16994</v>
      </c>
    </row>
    <row r="65" ht="11.25">
      <c r="A65" s="3" t="s">
        <v>239</v>
      </c>
    </row>
    <row r="66" ht="11.25">
      <c r="A66" s="23" t="s">
        <v>27</v>
      </c>
    </row>
    <row r="68" spans="2:17" ht="11.25">
      <c r="B68" s="1" t="s">
        <v>236</v>
      </c>
      <c r="C68" s="1" t="s">
        <v>49</v>
      </c>
      <c r="D68" s="1" t="s">
        <v>50</v>
      </c>
      <c r="E68" s="1" t="s">
        <v>51</v>
      </c>
      <c r="F68" s="1" t="s">
        <v>52</v>
      </c>
      <c r="G68" s="1" t="s">
        <v>53</v>
      </c>
      <c r="H68" s="1" t="s">
        <v>54</v>
      </c>
      <c r="I68" s="1" t="s">
        <v>55</v>
      </c>
      <c r="J68" s="1" t="s">
        <v>56</v>
      </c>
      <c r="K68" s="1" t="s">
        <v>57</v>
      </c>
      <c r="L68" s="1" t="s">
        <v>58</v>
      </c>
      <c r="M68" s="1" t="s">
        <v>59</v>
      </c>
      <c r="N68" s="1" t="s">
        <v>60</v>
      </c>
      <c r="O68" s="1" t="s">
        <v>61</v>
      </c>
      <c r="P68" s="1" t="s">
        <v>62</v>
      </c>
      <c r="Q68" s="1" t="s">
        <v>63</v>
      </c>
    </row>
    <row r="69" spans="1:17" ht="11.25">
      <c r="A69" s="125">
        <v>1990</v>
      </c>
      <c r="B69" s="126" t="e">
        <f aca="true" t="shared" si="4" ref="B69:B78">SUM(C69:Q69)</f>
        <v>#N/A</v>
      </c>
      <c r="C69" s="126">
        <v>3246</v>
      </c>
      <c r="D69" s="126">
        <v>2293</v>
      </c>
      <c r="E69" s="126">
        <v>230</v>
      </c>
      <c r="F69" s="126">
        <v>1663</v>
      </c>
      <c r="G69" s="126">
        <v>12609</v>
      </c>
      <c r="H69" s="90" t="e">
        <f>NA()</f>
        <v>#N/A</v>
      </c>
      <c r="I69" s="126">
        <v>0</v>
      </c>
      <c r="J69" s="126">
        <v>37</v>
      </c>
      <c r="K69" s="126">
        <v>9512</v>
      </c>
      <c r="L69" s="126">
        <v>197</v>
      </c>
      <c r="M69" s="126">
        <v>1939</v>
      </c>
      <c r="N69" s="126">
        <v>457</v>
      </c>
      <c r="O69" s="126">
        <v>6416</v>
      </c>
      <c r="P69" s="126">
        <v>6995</v>
      </c>
      <c r="Q69" s="90" t="e">
        <f>NA()</f>
        <v>#N/A</v>
      </c>
    </row>
    <row r="70" spans="1:17" ht="11.25">
      <c r="A70" s="125">
        <v>1991</v>
      </c>
      <c r="B70" s="126">
        <f t="shared" si="4"/>
        <v>67595</v>
      </c>
      <c r="C70" s="126">
        <v>3246</v>
      </c>
      <c r="D70" s="126">
        <v>2291</v>
      </c>
      <c r="E70" s="126">
        <v>340</v>
      </c>
      <c r="F70" s="126">
        <v>1664</v>
      </c>
      <c r="G70" s="126">
        <v>12828</v>
      </c>
      <c r="H70" s="126">
        <v>16290</v>
      </c>
      <c r="I70" s="126">
        <v>0</v>
      </c>
      <c r="J70" s="126">
        <v>37</v>
      </c>
      <c r="K70" s="126">
        <v>9701</v>
      </c>
      <c r="L70" s="126">
        <v>220</v>
      </c>
      <c r="M70" s="126">
        <v>1939</v>
      </c>
      <c r="N70" s="126">
        <v>462</v>
      </c>
      <c r="O70" s="126">
        <v>6426</v>
      </c>
      <c r="P70" s="126">
        <v>7252</v>
      </c>
      <c r="Q70" s="126">
        <v>4899</v>
      </c>
    </row>
    <row r="71" spans="1:17" ht="11.25">
      <c r="A71" s="125">
        <v>1992</v>
      </c>
      <c r="B71" s="126">
        <f t="shared" si="4"/>
        <v>68532</v>
      </c>
      <c r="C71" s="126">
        <v>3247</v>
      </c>
      <c r="D71" s="126">
        <v>2291</v>
      </c>
      <c r="E71" s="126">
        <v>365</v>
      </c>
      <c r="F71" s="126">
        <v>1664</v>
      </c>
      <c r="G71" s="126">
        <v>12986</v>
      </c>
      <c r="H71" s="126">
        <v>16330</v>
      </c>
      <c r="I71" s="126">
        <v>0</v>
      </c>
      <c r="J71" s="126">
        <v>37</v>
      </c>
      <c r="K71" s="126">
        <v>9936</v>
      </c>
      <c r="L71" s="126">
        <v>220</v>
      </c>
      <c r="M71" s="126">
        <v>1987</v>
      </c>
      <c r="N71" s="126">
        <v>462</v>
      </c>
      <c r="O71" s="126">
        <v>6894</v>
      </c>
      <c r="P71" s="126">
        <v>7203</v>
      </c>
      <c r="Q71" s="126">
        <v>4910</v>
      </c>
    </row>
    <row r="72" spans="1:17" ht="11.25">
      <c r="A72" s="125">
        <v>1993</v>
      </c>
      <c r="B72" s="126">
        <f t="shared" si="4"/>
        <v>69915</v>
      </c>
      <c r="C72" s="126">
        <v>3273</v>
      </c>
      <c r="D72" s="126">
        <v>2362</v>
      </c>
      <c r="E72" s="126">
        <v>370</v>
      </c>
      <c r="F72" s="126">
        <v>1713</v>
      </c>
      <c r="G72" s="126">
        <v>13572</v>
      </c>
      <c r="H72" s="126">
        <v>16795</v>
      </c>
      <c r="I72" s="126">
        <v>0</v>
      </c>
      <c r="J72" s="126">
        <v>37</v>
      </c>
      <c r="K72" s="126">
        <v>10030</v>
      </c>
      <c r="L72" s="126">
        <v>262</v>
      </c>
      <c r="M72" s="126">
        <v>1991</v>
      </c>
      <c r="N72" s="126">
        <v>462</v>
      </c>
      <c r="O72" s="126">
        <v>6894</v>
      </c>
      <c r="P72" s="126">
        <v>7186</v>
      </c>
      <c r="Q72" s="126">
        <v>4968</v>
      </c>
    </row>
    <row r="73" spans="1:17" ht="11.25">
      <c r="A73" s="125">
        <v>1994</v>
      </c>
      <c r="B73" s="126">
        <f t="shared" si="4"/>
        <v>71636</v>
      </c>
      <c r="C73" s="126">
        <v>3308</v>
      </c>
      <c r="D73" s="126">
        <v>2363</v>
      </c>
      <c r="E73" s="126">
        <v>370</v>
      </c>
      <c r="F73" s="126">
        <v>1950</v>
      </c>
      <c r="G73" s="126">
        <v>13742</v>
      </c>
      <c r="H73" s="126">
        <v>17748</v>
      </c>
      <c r="I73" s="126">
        <v>0</v>
      </c>
      <c r="J73" s="126">
        <v>37</v>
      </c>
      <c r="K73" s="126">
        <v>10124</v>
      </c>
      <c r="L73" s="126">
        <v>262</v>
      </c>
      <c r="M73" s="126">
        <v>1991</v>
      </c>
      <c r="N73" s="126">
        <v>462</v>
      </c>
      <c r="O73" s="126">
        <v>6999</v>
      </c>
      <c r="P73" s="126">
        <v>7182</v>
      </c>
      <c r="Q73" s="126">
        <v>5098</v>
      </c>
    </row>
    <row r="74" spans="1:17" ht="11.25">
      <c r="A74" s="125">
        <v>1995</v>
      </c>
      <c r="B74" s="126">
        <f t="shared" si="4"/>
        <v>72590</v>
      </c>
      <c r="C74" s="126">
        <v>3418</v>
      </c>
      <c r="D74" s="126">
        <v>2371</v>
      </c>
      <c r="E74" s="126">
        <v>434</v>
      </c>
      <c r="F74" s="126">
        <v>2054</v>
      </c>
      <c r="G74" s="126">
        <v>13799</v>
      </c>
      <c r="H74" s="126">
        <v>18163</v>
      </c>
      <c r="I74" s="126">
        <v>0</v>
      </c>
      <c r="J74" s="126">
        <v>37</v>
      </c>
      <c r="K74" s="126">
        <v>10205</v>
      </c>
      <c r="L74" s="126">
        <v>262</v>
      </c>
      <c r="M74" s="126">
        <v>1991</v>
      </c>
      <c r="N74" s="126">
        <v>522</v>
      </c>
      <c r="O74" s="126">
        <v>6854</v>
      </c>
      <c r="P74" s="126">
        <v>7317</v>
      </c>
      <c r="Q74" s="126">
        <v>5163</v>
      </c>
    </row>
    <row r="75" spans="1:17" ht="11.25">
      <c r="A75" s="125">
        <v>1996</v>
      </c>
      <c r="B75" s="126">
        <f t="shared" si="4"/>
        <v>73791</v>
      </c>
      <c r="C75" s="126">
        <v>3418</v>
      </c>
      <c r="D75" s="126">
        <v>2460</v>
      </c>
      <c r="E75" s="126">
        <v>577</v>
      </c>
      <c r="F75" s="126">
        <v>2061</v>
      </c>
      <c r="G75" s="126">
        <v>14176</v>
      </c>
      <c r="H75" s="126">
        <v>18460</v>
      </c>
      <c r="I75" s="126">
        <v>0</v>
      </c>
      <c r="J75" s="126">
        <v>37</v>
      </c>
      <c r="K75" s="126">
        <v>10318</v>
      </c>
      <c r="L75" s="126">
        <v>261</v>
      </c>
      <c r="M75" s="126">
        <v>1991</v>
      </c>
      <c r="N75" s="126">
        <v>614</v>
      </c>
      <c r="O75" s="126">
        <v>6857</v>
      </c>
      <c r="P75" s="126">
        <v>7385</v>
      </c>
      <c r="Q75" s="126">
        <v>5176</v>
      </c>
    </row>
    <row r="76" spans="1:17" ht="11.25">
      <c r="A76" s="125">
        <v>1997</v>
      </c>
      <c r="B76" s="126">
        <f t="shared" si="4"/>
        <v>74341</v>
      </c>
      <c r="C76" s="126">
        <v>3418</v>
      </c>
      <c r="D76" s="126">
        <v>2507</v>
      </c>
      <c r="E76" s="126">
        <v>601</v>
      </c>
      <c r="F76" s="126">
        <v>2061</v>
      </c>
      <c r="G76" s="126">
        <v>14180</v>
      </c>
      <c r="H76" s="126">
        <v>18653</v>
      </c>
      <c r="I76" s="126">
        <v>0</v>
      </c>
      <c r="J76" s="126">
        <v>37</v>
      </c>
      <c r="K76" s="126">
        <v>10358</v>
      </c>
      <c r="L76" s="126">
        <v>261</v>
      </c>
      <c r="M76" s="126">
        <v>2058</v>
      </c>
      <c r="N76" s="126">
        <v>731</v>
      </c>
      <c r="O76" s="126">
        <v>6950</v>
      </c>
      <c r="P76" s="126">
        <v>7360</v>
      </c>
      <c r="Q76" s="126">
        <v>5166</v>
      </c>
    </row>
    <row r="77" spans="1:17" ht="11.25">
      <c r="A77" s="125">
        <v>1998</v>
      </c>
      <c r="B77" s="126">
        <f t="shared" si="4"/>
        <v>75090</v>
      </c>
      <c r="C77" s="126">
        <v>3427</v>
      </c>
      <c r="D77" s="126">
        <v>2643</v>
      </c>
      <c r="E77" s="126">
        <v>617</v>
      </c>
      <c r="F77" s="126">
        <v>2197</v>
      </c>
      <c r="G77" s="126">
        <v>14153</v>
      </c>
      <c r="H77" s="126">
        <v>18857</v>
      </c>
      <c r="I77" s="126">
        <v>0</v>
      </c>
      <c r="J77" s="126">
        <v>37</v>
      </c>
      <c r="K77" s="126">
        <v>10488</v>
      </c>
      <c r="L77" s="126">
        <v>261</v>
      </c>
      <c r="M77" s="126">
        <v>2061</v>
      </c>
      <c r="N77" s="126">
        <v>873</v>
      </c>
      <c r="O77" s="126">
        <v>6950</v>
      </c>
      <c r="P77" s="126">
        <v>7360</v>
      </c>
      <c r="Q77" s="126">
        <v>5166</v>
      </c>
    </row>
    <row r="78" spans="1:17" ht="11.25">
      <c r="A78" s="125">
        <v>1999</v>
      </c>
      <c r="B78" s="126">
        <f t="shared" si="4"/>
        <v>75599</v>
      </c>
      <c r="C78" s="126">
        <v>3456</v>
      </c>
      <c r="D78" s="126">
        <v>2701</v>
      </c>
      <c r="E78" s="126">
        <v>613</v>
      </c>
      <c r="F78" s="126">
        <v>2234</v>
      </c>
      <c r="G78" s="126">
        <v>14206</v>
      </c>
      <c r="H78" s="126">
        <v>18934</v>
      </c>
      <c r="I78" s="126">
        <v>0</v>
      </c>
      <c r="J78" s="126">
        <v>47</v>
      </c>
      <c r="K78" s="126">
        <v>10688</v>
      </c>
      <c r="L78" s="126">
        <v>261</v>
      </c>
      <c r="M78" s="126">
        <v>2061</v>
      </c>
      <c r="N78" s="126">
        <v>901</v>
      </c>
      <c r="O78" s="126">
        <v>6959</v>
      </c>
      <c r="P78" s="126">
        <v>7372</v>
      </c>
      <c r="Q78" s="126">
        <v>5166</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Q45"/>
  <sheetViews>
    <sheetView workbookViewId="0" topLeftCell="A10">
      <selection activeCell="S44" sqref="S44"/>
    </sheetView>
  </sheetViews>
  <sheetFormatPr defaultColWidth="9.00390625" defaultRowHeight="12.75"/>
  <cols>
    <col min="1" max="1" width="9.125" style="45" customWidth="1"/>
    <col min="2" max="2" width="9.75390625" style="45" bestFit="1" customWidth="1"/>
    <col min="3" max="17" width="8.875" style="45" customWidth="1"/>
    <col min="18" max="16384" width="9.125" style="45" customWidth="1"/>
  </cols>
  <sheetData>
    <row r="1" ht="11.25">
      <c r="A1" s="111" t="s">
        <v>234</v>
      </c>
    </row>
    <row r="2" ht="11.25">
      <c r="A2" s="112" t="s">
        <v>235</v>
      </c>
    </row>
    <row r="4" spans="1:15" ht="11.25">
      <c r="A4" s="5"/>
      <c r="B4" s="19" t="s">
        <v>28</v>
      </c>
      <c r="C4" s="20" t="s">
        <v>0</v>
      </c>
      <c r="D4" s="20" t="s">
        <v>29</v>
      </c>
      <c r="E4" s="20" t="s">
        <v>1</v>
      </c>
      <c r="F4" s="20" t="s">
        <v>2</v>
      </c>
      <c r="G4" s="20" t="s">
        <v>3</v>
      </c>
      <c r="H4" s="20" t="s">
        <v>4</v>
      </c>
      <c r="I4" s="20" t="s">
        <v>5</v>
      </c>
      <c r="J4" s="20" t="s">
        <v>30</v>
      </c>
      <c r="K4" s="20" t="s">
        <v>6</v>
      </c>
      <c r="L4" s="20" t="s">
        <v>7</v>
      </c>
      <c r="M4" s="20" t="s">
        <v>8</v>
      </c>
      <c r="N4" s="20" t="s">
        <v>9</v>
      </c>
      <c r="O4" s="21" t="s">
        <v>31</v>
      </c>
    </row>
    <row r="5" spans="1:15" ht="11.25">
      <c r="A5" s="5">
        <v>1990</v>
      </c>
      <c r="B5" s="90" t="e">
        <f>SUM(C5:O5)</f>
        <v>#N/A</v>
      </c>
      <c r="C5" s="105">
        <v>58792</v>
      </c>
      <c r="D5" s="90">
        <v>0</v>
      </c>
      <c r="E5" s="105" t="e">
        <f>NA()</f>
        <v>#N/A</v>
      </c>
      <c r="F5" s="105" t="e">
        <f>NA()</f>
        <v>#N/A</v>
      </c>
      <c r="G5" s="105">
        <v>104672</v>
      </c>
      <c r="H5" s="105">
        <v>29082</v>
      </c>
      <c r="I5" s="105" t="e">
        <f>NA()</f>
        <v>#N/A</v>
      </c>
      <c r="J5" s="90">
        <v>0</v>
      </c>
      <c r="K5" s="105">
        <v>360223</v>
      </c>
      <c r="L5" s="105">
        <v>150406</v>
      </c>
      <c r="M5" s="105" t="e">
        <f>NA()</f>
        <v>#N/A</v>
      </c>
      <c r="N5" s="105">
        <v>22968</v>
      </c>
      <c r="O5" s="105" t="e">
        <f>NA()</f>
        <v>#N/A</v>
      </c>
    </row>
    <row r="6" spans="1:15" ht="11.25">
      <c r="A6" s="5">
        <v>1991</v>
      </c>
      <c r="B6" s="90" t="e">
        <f aca="true" t="shared" si="0" ref="B6:B14">SUM(C6:O6)</f>
        <v>#N/A</v>
      </c>
      <c r="C6" s="106">
        <v>47940</v>
      </c>
      <c r="D6" s="90">
        <v>0</v>
      </c>
      <c r="E6" s="105" t="e">
        <f>NA()</f>
        <v>#N/A</v>
      </c>
      <c r="F6" s="105" t="e">
        <f>NA()</f>
        <v>#N/A</v>
      </c>
      <c r="G6" s="106">
        <v>98045</v>
      </c>
      <c r="H6" s="105" t="e">
        <f>NA()</f>
        <v>#N/A</v>
      </c>
      <c r="I6" s="105" t="e">
        <f>NA()</f>
        <v>#N/A</v>
      </c>
      <c r="J6" s="90">
        <v>0</v>
      </c>
      <c r="K6" s="105" t="e">
        <f>NA()</f>
        <v>#N/A</v>
      </c>
      <c r="L6" s="105" t="e">
        <f>NA()</f>
        <v>#N/A</v>
      </c>
      <c r="M6" s="105" t="e">
        <f>NA()</f>
        <v>#N/A</v>
      </c>
      <c r="N6" s="106">
        <v>19882</v>
      </c>
      <c r="O6" s="105" t="e">
        <f>NA()</f>
        <v>#N/A</v>
      </c>
    </row>
    <row r="7" spans="1:15" ht="11.25">
      <c r="A7" s="5">
        <v>1992</v>
      </c>
      <c r="B7" s="90" t="e">
        <f t="shared" si="0"/>
        <v>#N/A</v>
      </c>
      <c r="C7" s="106">
        <v>47642</v>
      </c>
      <c r="D7" s="90">
        <v>0</v>
      </c>
      <c r="E7" s="105" t="e">
        <f>NA()</f>
        <v>#N/A</v>
      </c>
      <c r="F7" s="106">
        <v>8933</v>
      </c>
      <c r="G7" s="106">
        <v>97126</v>
      </c>
      <c r="H7" s="106">
        <v>22012</v>
      </c>
      <c r="I7" s="106">
        <v>21562</v>
      </c>
      <c r="J7" s="90">
        <v>0</v>
      </c>
      <c r="K7" s="106">
        <v>286233</v>
      </c>
      <c r="L7" s="106">
        <v>121877</v>
      </c>
      <c r="M7" s="106">
        <v>64602</v>
      </c>
      <c r="N7" s="106">
        <v>17272</v>
      </c>
      <c r="O7" s="106">
        <v>43295</v>
      </c>
    </row>
    <row r="8" spans="1:15" ht="11.25">
      <c r="A8" s="5">
        <v>1993</v>
      </c>
      <c r="B8" s="90">
        <f t="shared" si="0"/>
        <v>870490</v>
      </c>
      <c r="C8" s="106">
        <v>47568</v>
      </c>
      <c r="D8" s="90">
        <v>0</v>
      </c>
      <c r="E8" s="106">
        <v>143777</v>
      </c>
      <c r="F8" s="106">
        <v>8825</v>
      </c>
      <c r="G8" s="106">
        <v>99507</v>
      </c>
      <c r="H8" s="106">
        <v>21151</v>
      </c>
      <c r="I8" s="106">
        <v>20848</v>
      </c>
      <c r="J8" s="90">
        <v>0</v>
      </c>
      <c r="K8" s="106">
        <v>289302</v>
      </c>
      <c r="L8" s="106">
        <v>118196</v>
      </c>
      <c r="M8" s="106">
        <v>60284</v>
      </c>
      <c r="N8" s="106">
        <v>17182</v>
      </c>
      <c r="O8" s="106">
        <v>43850</v>
      </c>
    </row>
    <row r="9" spans="1:15" ht="11.25">
      <c r="A9" s="5">
        <v>1994</v>
      </c>
      <c r="B9" s="90">
        <f t="shared" si="0"/>
        <v>884501</v>
      </c>
      <c r="C9" s="106">
        <v>47433</v>
      </c>
      <c r="D9" s="90">
        <v>0</v>
      </c>
      <c r="E9" s="106">
        <v>148740</v>
      </c>
      <c r="F9" s="106">
        <v>8225</v>
      </c>
      <c r="G9" s="106">
        <v>98303</v>
      </c>
      <c r="H9" s="106">
        <v>20624</v>
      </c>
      <c r="I9" s="106">
        <v>18639</v>
      </c>
      <c r="J9" s="90">
        <v>0</v>
      </c>
      <c r="K9" s="106">
        <v>299835</v>
      </c>
      <c r="L9" s="106">
        <v>116102</v>
      </c>
      <c r="M9" s="106">
        <v>63866</v>
      </c>
      <c r="N9" s="106">
        <v>18594</v>
      </c>
      <c r="O9" s="106">
        <v>44140</v>
      </c>
    </row>
    <row r="10" spans="1:15" ht="11.25">
      <c r="A10" s="5">
        <v>1995</v>
      </c>
      <c r="B10" s="90">
        <f t="shared" si="0"/>
        <v>893818</v>
      </c>
      <c r="C10" s="106">
        <v>47577</v>
      </c>
      <c r="D10" s="90">
        <v>0</v>
      </c>
      <c r="E10" s="106">
        <v>158784</v>
      </c>
      <c r="F10" s="106">
        <v>8052</v>
      </c>
      <c r="G10" s="106">
        <v>102181</v>
      </c>
      <c r="H10" s="106">
        <v>18870</v>
      </c>
      <c r="I10" s="106">
        <v>17006</v>
      </c>
      <c r="J10" s="90">
        <v>0</v>
      </c>
      <c r="K10" s="106">
        <v>292426</v>
      </c>
      <c r="L10" s="106">
        <v>122369</v>
      </c>
      <c r="M10" s="106">
        <v>64115</v>
      </c>
      <c r="N10" s="106">
        <v>19083</v>
      </c>
      <c r="O10" s="106">
        <v>43355</v>
      </c>
    </row>
    <row r="11" spans="1:15" ht="11.25">
      <c r="A11" s="5">
        <v>1996</v>
      </c>
      <c r="B11" s="90">
        <f t="shared" si="0"/>
        <v>878027</v>
      </c>
      <c r="C11" s="106">
        <v>45058</v>
      </c>
      <c r="D11" s="90">
        <v>0</v>
      </c>
      <c r="E11" s="106">
        <v>153699</v>
      </c>
      <c r="F11" s="106">
        <v>7558</v>
      </c>
      <c r="G11" s="106">
        <v>95457</v>
      </c>
      <c r="H11" s="106">
        <v>20444</v>
      </c>
      <c r="I11" s="106">
        <v>16829</v>
      </c>
      <c r="J11" s="90">
        <v>0</v>
      </c>
      <c r="K11" s="106">
        <v>290503</v>
      </c>
      <c r="L11" s="106">
        <v>125292</v>
      </c>
      <c r="M11" s="106">
        <v>60320</v>
      </c>
      <c r="N11" s="106">
        <v>18343</v>
      </c>
      <c r="O11" s="106">
        <v>44524</v>
      </c>
    </row>
    <row r="12" spans="1:15" ht="11.25">
      <c r="A12" s="5">
        <v>1997</v>
      </c>
      <c r="B12" s="90">
        <f t="shared" si="0"/>
        <v>880714</v>
      </c>
      <c r="C12" s="106">
        <v>45546</v>
      </c>
      <c r="D12" s="90">
        <v>0</v>
      </c>
      <c r="E12" s="106">
        <v>144516</v>
      </c>
      <c r="F12" s="106">
        <v>8023</v>
      </c>
      <c r="G12" s="106">
        <v>104020</v>
      </c>
      <c r="H12" s="106">
        <v>21481</v>
      </c>
      <c r="I12" s="106">
        <v>16172</v>
      </c>
      <c r="J12" s="90">
        <v>0</v>
      </c>
      <c r="K12" s="106">
        <v>290971</v>
      </c>
      <c r="L12" s="106">
        <v>123097</v>
      </c>
      <c r="M12" s="106">
        <v>62165</v>
      </c>
      <c r="N12" s="106">
        <v>18332</v>
      </c>
      <c r="O12" s="106">
        <v>46391</v>
      </c>
    </row>
    <row r="13" spans="1:15" ht="11.25">
      <c r="A13" s="5">
        <v>1998</v>
      </c>
      <c r="B13" s="90">
        <f t="shared" si="0"/>
        <v>840045</v>
      </c>
      <c r="C13" s="106">
        <v>41052</v>
      </c>
      <c r="D13" s="90">
        <v>0</v>
      </c>
      <c r="E13" s="106">
        <v>137251</v>
      </c>
      <c r="F13" s="106">
        <v>8464</v>
      </c>
      <c r="G13" s="106">
        <v>103009</v>
      </c>
      <c r="H13" s="106">
        <v>19910</v>
      </c>
      <c r="I13" s="106">
        <v>15482</v>
      </c>
      <c r="J13" s="90">
        <v>0</v>
      </c>
      <c r="K13" s="106">
        <v>284182</v>
      </c>
      <c r="L13" s="106">
        <v>109160</v>
      </c>
      <c r="M13" s="106">
        <v>59169</v>
      </c>
      <c r="N13" s="106">
        <v>18071</v>
      </c>
      <c r="O13" s="106">
        <v>44295</v>
      </c>
    </row>
    <row r="14" spans="1:15" ht="11.25">
      <c r="A14" s="5">
        <v>1999</v>
      </c>
      <c r="B14" s="90" t="e">
        <f t="shared" si="0"/>
        <v>#N/A</v>
      </c>
      <c r="C14" s="105" t="e">
        <f>NA()</f>
        <v>#N/A</v>
      </c>
      <c r="D14" s="90">
        <v>0</v>
      </c>
      <c r="E14" s="106">
        <v>136868</v>
      </c>
      <c r="F14" s="105" t="e">
        <f>NA()</f>
        <v>#N/A</v>
      </c>
      <c r="G14" s="106">
        <v>102988</v>
      </c>
      <c r="H14" s="106">
        <v>18241</v>
      </c>
      <c r="I14" s="106">
        <v>14627</v>
      </c>
      <c r="J14" s="90">
        <v>0</v>
      </c>
      <c r="K14" s="106">
        <v>279317</v>
      </c>
      <c r="L14" s="106">
        <v>97676</v>
      </c>
      <c r="M14" s="106">
        <v>56212</v>
      </c>
      <c r="N14" s="106">
        <v>18131</v>
      </c>
      <c r="O14" s="105" t="e">
        <f>NA()</f>
        <v>#N/A</v>
      </c>
    </row>
    <row r="16" s="1" customFormat="1" ht="11.25">
      <c r="A16" s="5" t="s">
        <v>67</v>
      </c>
    </row>
    <row r="17" spans="1:15" s="1" customFormat="1" ht="11.25">
      <c r="A17" s="5"/>
      <c r="B17" s="90" t="e">
        <f aca="true" t="shared" si="1" ref="B17:O17">B14-B5</f>
        <v>#N/A</v>
      </c>
      <c r="C17" s="90" t="e">
        <f t="shared" si="1"/>
        <v>#N/A</v>
      </c>
      <c r="D17" s="90">
        <f t="shared" si="1"/>
        <v>0</v>
      </c>
      <c r="E17" s="90" t="e">
        <f t="shared" si="1"/>
        <v>#N/A</v>
      </c>
      <c r="F17" s="90" t="e">
        <f t="shared" si="1"/>
        <v>#N/A</v>
      </c>
      <c r="G17" s="90">
        <f t="shared" si="1"/>
        <v>-1684</v>
      </c>
      <c r="H17" s="90">
        <f t="shared" si="1"/>
        <v>-10841</v>
      </c>
      <c r="I17" s="90" t="e">
        <f t="shared" si="1"/>
        <v>#N/A</v>
      </c>
      <c r="J17" s="90">
        <f t="shared" si="1"/>
        <v>0</v>
      </c>
      <c r="K17" s="90">
        <f t="shared" si="1"/>
        <v>-80906</v>
      </c>
      <c r="L17" s="90">
        <f t="shared" si="1"/>
        <v>-52730</v>
      </c>
      <c r="M17" s="90" t="e">
        <f t="shared" si="1"/>
        <v>#N/A</v>
      </c>
      <c r="N17" s="90">
        <f t="shared" si="1"/>
        <v>-4837</v>
      </c>
      <c r="O17" s="90" t="e">
        <f t="shared" si="1"/>
        <v>#N/A</v>
      </c>
    </row>
    <row r="18" spans="1:15" s="1" customFormat="1" ht="11.25">
      <c r="A18" s="5" t="s">
        <v>15</v>
      </c>
      <c r="B18" s="90"/>
      <c r="C18" s="90"/>
      <c r="D18" s="90"/>
      <c r="E18" s="90"/>
      <c r="F18" s="90"/>
      <c r="G18" s="90"/>
      <c r="H18" s="90"/>
      <c r="I18" s="90"/>
      <c r="J18" s="90"/>
      <c r="K18" s="90"/>
      <c r="L18" s="90"/>
      <c r="M18" s="90"/>
      <c r="N18" s="90"/>
      <c r="O18" s="90"/>
    </row>
    <row r="19" spans="1:15" s="2" customFormat="1" ht="11.25">
      <c r="A19" s="7"/>
      <c r="B19" s="93" t="e">
        <f>POWER((B14/B5),(1/($A14-$A5)))-1</f>
        <v>#N/A</v>
      </c>
      <c r="C19" s="93" t="e">
        <f aca="true" t="shared" si="2" ref="C19:O19">POWER((C14/C5),(1/($A14-$A5)))-1</f>
        <v>#N/A</v>
      </c>
      <c r="D19" s="93"/>
      <c r="E19" s="93" t="e">
        <f t="shared" si="2"/>
        <v>#N/A</v>
      </c>
      <c r="F19" s="93" t="e">
        <f t="shared" si="2"/>
        <v>#N/A</v>
      </c>
      <c r="G19" s="93">
        <f t="shared" si="2"/>
        <v>-0.0018005076675624565</v>
      </c>
      <c r="H19" s="93">
        <f t="shared" si="2"/>
        <v>-0.050507372292214914</v>
      </c>
      <c r="I19" s="93" t="e">
        <f t="shared" si="2"/>
        <v>#N/A</v>
      </c>
      <c r="J19" s="93"/>
      <c r="K19" s="93">
        <f t="shared" si="2"/>
        <v>-0.02786830407327734</v>
      </c>
      <c r="L19" s="93">
        <f t="shared" si="2"/>
        <v>-0.046832579988242196</v>
      </c>
      <c r="M19" s="93" t="e">
        <f t="shared" si="2"/>
        <v>#N/A</v>
      </c>
      <c r="N19" s="93">
        <f t="shared" si="2"/>
        <v>-0.02593322290281841</v>
      </c>
      <c r="O19" s="93" t="e">
        <f t="shared" si="2"/>
        <v>#N/A</v>
      </c>
    </row>
    <row r="20" spans="1:15" s="1" customFormat="1" ht="11.25">
      <c r="A20" s="5" t="s">
        <v>16</v>
      </c>
      <c r="B20" s="90"/>
      <c r="C20" s="90"/>
      <c r="D20" s="90"/>
      <c r="E20" s="90"/>
      <c r="F20" s="90"/>
      <c r="G20" s="90"/>
      <c r="H20" s="90"/>
      <c r="I20" s="90"/>
      <c r="J20" s="90"/>
      <c r="K20" s="90"/>
      <c r="L20" s="90"/>
      <c r="M20" s="90"/>
      <c r="N20" s="90"/>
      <c r="O20" s="90"/>
    </row>
    <row r="21" spans="1:15" s="1" customFormat="1" ht="11.25">
      <c r="A21" s="5"/>
      <c r="B21" s="93" t="e">
        <f>+B14/B5-1</f>
        <v>#N/A</v>
      </c>
      <c r="C21" s="93" t="e">
        <f aca="true" t="shared" si="3" ref="C21:O21">+C14/C5-1</f>
        <v>#N/A</v>
      </c>
      <c r="D21" s="93"/>
      <c r="E21" s="93" t="e">
        <f t="shared" si="3"/>
        <v>#N/A</v>
      </c>
      <c r="F21" s="93" t="e">
        <f t="shared" si="3"/>
        <v>#N/A</v>
      </c>
      <c r="G21" s="93">
        <f t="shared" si="3"/>
        <v>-0.016088352185875898</v>
      </c>
      <c r="H21" s="93">
        <f t="shared" si="3"/>
        <v>-0.3727735368956743</v>
      </c>
      <c r="I21" s="93" t="e">
        <f t="shared" si="3"/>
        <v>#N/A</v>
      </c>
      <c r="J21" s="93"/>
      <c r="K21" s="93">
        <f t="shared" si="3"/>
        <v>-0.2245997618142095</v>
      </c>
      <c r="L21" s="93">
        <f t="shared" si="3"/>
        <v>-0.3505844181748069</v>
      </c>
      <c r="M21" s="93" t="e">
        <f t="shared" si="3"/>
        <v>#N/A</v>
      </c>
      <c r="N21" s="93">
        <f t="shared" si="3"/>
        <v>-0.21059735283873215</v>
      </c>
      <c r="O21" s="93" t="e">
        <f t="shared" si="3"/>
        <v>#N/A</v>
      </c>
    </row>
    <row r="22" spans="1:15" s="1" customFormat="1" ht="11.25">
      <c r="A22" s="5"/>
      <c r="B22" s="5"/>
      <c r="C22" s="5"/>
      <c r="D22" s="5"/>
      <c r="E22" s="5"/>
      <c r="F22" s="5"/>
      <c r="G22" s="5"/>
      <c r="H22" s="5"/>
      <c r="I22" s="5"/>
      <c r="J22" s="5"/>
      <c r="K22" s="5"/>
      <c r="L22" s="5"/>
      <c r="M22" s="5"/>
      <c r="N22" s="5"/>
      <c r="O22" s="10"/>
    </row>
    <row r="23" spans="1:15" s="1" customFormat="1" ht="11.25">
      <c r="A23" s="5" t="s">
        <v>78</v>
      </c>
      <c r="B23" s="5" t="s">
        <v>77</v>
      </c>
      <c r="C23" s="5"/>
      <c r="D23" s="5"/>
      <c r="E23" s="5"/>
      <c r="F23" s="5"/>
      <c r="G23" s="5"/>
      <c r="H23" s="5"/>
      <c r="I23" s="5"/>
      <c r="J23" s="5"/>
      <c r="K23" s="5"/>
      <c r="L23" s="5"/>
      <c r="M23" s="5"/>
      <c r="N23" s="5"/>
      <c r="O23" s="10"/>
    </row>
    <row r="26" spans="1:17" ht="11.25">
      <c r="A26" s="1"/>
      <c r="B26" s="29" t="s">
        <v>68</v>
      </c>
      <c r="C26" s="29" t="s">
        <v>49</v>
      </c>
      <c r="D26" s="29" t="s">
        <v>50</v>
      </c>
      <c r="E26" s="29" t="s">
        <v>51</v>
      </c>
      <c r="F26" s="29" t="s">
        <v>52</v>
      </c>
      <c r="G26" s="29" t="s">
        <v>53</v>
      </c>
      <c r="H26" s="29" t="s">
        <v>54</v>
      </c>
      <c r="I26" s="29" t="s">
        <v>55</v>
      </c>
      <c r="J26" s="29" t="s">
        <v>56</v>
      </c>
      <c r="K26" s="29" t="s">
        <v>57</v>
      </c>
      <c r="L26" s="29" t="s">
        <v>58</v>
      </c>
      <c r="M26" s="29" t="s">
        <v>59</v>
      </c>
      <c r="N26" s="29" t="s">
        <v>60</v>
      </c>
      <c r="O26" s="29" t="s">
        <v>61</v>
      </c>
      <c r="P26" s="29" t="s">
        <v>62</v>
      </c>
      <c r="Q26" s="29" t="s">
        <v>63</v>
      </c>
    </row>
    <row r="27" spans="1:17" ht="11.25">
      <c r="A27" s="1">
        <v>1990</v>
      </c>
      <c r="B27" s="107" t="e">
        <f>SUM(C27:Q27)</f>
        <v>#N/A</v>
      </c>
      <c r="C27" s="108">
        <v>115218</v>
      </c>
      <c r="D27" s="108">
        <v>92110</v>
      </c>
      <c r="E27" s="108">
        <v>52160</v>
      </c>
      <c r="F27" s="108">
        <v>41038</v>
      </c>
      <c r="G27" s="108">
        <v>487670</v>
      </c>
      <c r="H27" s="105" t="e">
        <f>NA()</f>
        <v>#N/A</v>
      </c>
      <c r="I27" s="105" t="e">
        <f>NA()</f>
        <v>#N/A</v>
      </c>
      <c r="J27" s="108">
        <v>14237</v>
      </c>
      <c r="K27" s="108">
        <v>302226</v>
      </c>
      <c r="L27" s="108">
        <v>4903</v>
      </c>
      <c r="M27" s="108">
        <v>117314</v>
      </c>
      <c r="N27" s="105" t="e">
        <f>NA()</f>
        <v>#N/A</v>
      </c>
      <c r="O27" s="108">
        <v>168906</v>
      </c>
      <c r="P27" s="108">
        <v>99634</v>
      </c>
      <c r="Q27" s="105" t="e">
        <f>NA()</f>
        <v>#N/A</v>
      </c>
    </row>
    <row r="28" spans="1:17" ht="11.25">
      <c r="A28" s="1">
        <v>1991</v>
      </c>
      <c r="B28" s="107" t="e">
        <f aca="true" t="shared" si="4" ref="B28:B36">SUM(C28:Q28)</f>
        <v>#N/A</v>
      </c>
      <c r="C28" s="109">
        <v>128931</v>
      </c>
      <c r="D28" s="109">
        <v>93027</v>
      </c>
      <c r="E28" s="109">
        <v>56240</v>
      </c>
      <c r="F28" s="109">
        <v>40114</v>
      </c>
      <c r="G28" s="109">
        <v>484373</v>
      </c>
      <c r="H28" s="105" t="e">
        <f>NA()</f>
        <v>#N/A</v>
      </c>
      <c r="I28" s="109">
        <v>16236</v>
      </c>
      <c r="J28" s="105" t="e">
        <f>NA()</f>
        <v>#N/A</v>
      </c>
      <c r="K28" s="109">
        <v>316407</v>
      </c>
      <c r="L28" s="109">
        <v>6370</v>
      </c>
      <c r="M28" s="109">
        <v>117856</v>
      </c>
      <c r="N28" s="109">
        <v>43720</v>
      </c>
      <c r="O28" s="109">
        <v>228700</v>
      </c>
      <c r="P28" s="109">
        <v>97211</v>
      </c>
      <c r="Q28" s="109">
        <v>431042</v>
      </c>
    </row>
    <row r="29" spans="1:17" ht="11.25">
      <c r="A29" s="1">
        <v>1992</v>
      </c>
      <c r="B29" s="107" t="e">
        <f t="shared" si="4"/>
        <v>#N/A</v>
      </c>
      <c r="C29" s="109">
        <v>138769</v>
      </c>
      <c r="D29" s="109">
        <v>93477</v>
      </c>
      <c r="E29" s="109">
        <v>57881</v>
      </c>
      <c r="F29" s="109">
        <v>40197</v>
      </c>
      <c r="G29" s="109">
        <v>485396</v>
      </c>
      <c r="H29" s="105" t="e">
        <f>NA()</f>
        <v>#N/A</v>
      </c>
      <c r="I29" s="109">
        <v>15489</v>
      </c>
      <c r="J29" s="109">
        <v>13861</v>
      </c>
      <c r="K29" s="109">
        <v>319400</v>
      </c>
      <c r="L29" s="109">
        <v>6346</v>
      </c>
      <c r="M29" s="109">
        <v>118484</v>
      </c>
      <c r="N29" s="109">
        <v>43634</v>
      </c>
      <c r="O29" s="109">
        <v>218441</v>
      </c>
      <c r="P29" s="109">
        <v>95042</v>
      </c>
      <c r="Q29" s="109">
        <v>427087</v>
      </c>
    </row>
    <row r="30" spans="1:17" ht="11.25">
      <c r="A30" s="1">
        <v>1993</v>
      </c>
      <c r="B30" s="107">
        <f t="shared" si="4"/>
        <v>2895995</v>
      </c>
      <c r="C30" s="109">
        <v>138700</v>
      </c>
      <c r="D30" s="109">
        <v>91825</v>
      </c>
      <c r="E30" s="109">
        <v>56863</v>
      </c>
      <c r="F30" s="109">
        <v>40876</v>
      </c>
      <c r="G30" s="109">
        <v>472448</v>
      </c>
      <c r="H30" s="109">
        <v>871441</v>
      </c>
      <c r="I30" s="109">
        <v>16441</v>
      </c>
      <c r="J30" s="109">
        <v>13767</v>
      </c>
      <c r="K30" s="109">
        <v>312433</v>
      </c>
      <c r="L30" s="109">
        <v>6981</v>
      </c>
      <c r="M30" s="109">
        <v>122405</v>
      </c>
      <c r="N30" s="109">
        <v>41582</v>
      </c>
      <c r="O30" s="109">
        <v>198213</v>
      </c>
      <c r="P30" s="109">
        <v>92773</v>
      </c>
      <c r="Q30" s="109">
        <v>419247</v>
      </c>
    </row>
    <row r="31" spans="1:17" ht="11.25">
      <c r="A31" s="1">
        <v>1994</v>
      </c>
      <c r="B31" s="107">
        <f t="shared" si="4"/>
        <v>2892579</v>
      </c>
      <c r="C31" s="109">
        <v>135897</v>
      </c>
      <c r="D31" s="109">
        <v>90930</v>
      </c>
      <c r="E31" s="109">
        <v>57410</v>
      </c>
      <c r="F31" s="109">
        <v>41344</v>
      </c>
      <c r="G31" s="109">
        <v>478474</v>
      </c>
      <c r="H31" s="109">
        <v>878544</v>
      </c>
      <c r="I31" s="109">
        <v>17071</v>
      </c>
      <c r="J31" s="109">
        <v>13709</v>
      </c>
      <c r="K31" s="109">
        <v>323189</v>
      </c>
      <c r="L31" s="109">
        <v>7233</v>
      </c>
      <c r="M31" s="109">
        <v>117794</v>
      </c>
      <c r="N31" s="109">
        <v>38677</v>
      </c>
      <c r="O31" s="109">
        <v>185992</v>
      </c>
      <c r="P31" s="109">
        <v>97975</v>
      </c>
      <c r="Q31" s="109">
        <v>408340</v>
      </c>
    </row>
    <row r="32" spans="1:17" ht="11.25">
      <c r="A32" s="1">
        <v>1995</v>
      </c>
      <c r="B32" s="107" t="e">
        <f t="shared" si="4"/>
        <v>#N/A</v>
      </c>
      <c r="C32" s="109">
        <v>131097</v>
      </c>
      <c r="D32" s="109">
        <v>88762</v>
      </c>
      <c r="E32" s="109">
        <v>59883</v>
      </c>
      <c r="F32" s="109">
        <v>40973</v>
      </c>
      <c r="G32" s="109">
        <v>455032</v>
      </c>
      <c r="H32" s="109">
        <v>870866</v>
      </c>
      <c r="I32" s="109">
        <v>18215</v>
      </c>
      <c r="J32" s="109">
        <v>14383</v>
      </c>
      <c r="K32" s="109">
        <v>344400</v>
      </c>
      <c r="L32" s="109">
        <v>7208</v>
      </c>
      <c r="M32" s="109">
        <v>119656</v>
      </c>
      <c r="N32" s="109">
        <v>42285</v>
      </c>
      <c r="O32" s="109">
        <v>161073</v>
      </c>
      <c r="P32" s="109">
        <v>102589</v>
      </c>
      <c r="Q32" s="105" t="e">
        <f>NA()</f>
        <v>#N/A</v>
      </c>
    </row>
    <row r="33" spans="1:17" ht="11.25">
      <c r="A33" s="1">
        <v>1996</v>
      </c>
      <c r="B33" s="107" t="e">
        <f t="shared" si="4"/>
        <v>#N/A</v>
      </c>
      <c r="C33" s="109">
        <v>122836</v>
      </c>
      <c r="D33" s="109">
        <v>90751</v>
      </c>
      <c r="E33" s="109">
        <v>57794</v>
      </c>
      <c r="F33" s="109">
        <v>40621</v>
      </c>
      <c r="G33" s="109">
        <v>498451</v>
      </c>
      <c r="H33" s="109">
        <v>867863</v>
      </c>
      <c r="I33" s="109">
        <v>19235</v>
      </c>
      <c r="J33" s="109">
        <v>15388</v>
      </c>
      <c r="K33" s="109">
        <v>345774</v>
      </c>
      <c r="L33" s="109">
        <v>7282</v>
      </c>
      <c r="M33" s="109">
        <v>119200</v>
      </c>
      <c r="N33" s="109">
        <v>44112</v>
      </c>
      <c r="O33" s="109">
        <v>159575</v>
      </c>
      <c r="P33" s="109">
        <v>105005</v>
      </c>
      <c r="Q33" s="105" t="e">
        <f>NA()</f>
        <v>#N/A</v>
      </c>
    </row>
    <row r="34" spans="1:17" ht="11.25">
      <c r="A34" s="1">
        <v>1997</v>
      </c>
      <c r="B34" s="107" t="e">
        <f t="shared" si="4"/>
        <v>#N/A</v>
      </c>
      <c r="C34" s="109">
        <v>127533</v>
      </c>
      <c r="D34" s="109">
        <v>91036</v>
      </c>
      <c r="E34" s="109">
        <v>59741</v>
      </c>
      <c r="F34" s="109">
        <v>44137</v>
      </c>
      <c r="G34" s="109">
        <v>507128</v>
      </c>
      <c r="H34" s="109">
        <v>838009</v>
      </c>
      <c r="I34" s="109">
        <v>18514</v>
      </c>
      <c r="J34" s="109">
        <v>15314</v>
      </c>
      <c r="K34" s="109">
        <v>345511</v>
      </c>
      <c r="L34" s="109">
        <v>7140</v>
      </c>
      <c r="M34" s="109">
        <v>121247</v>
      </c>
      <c r="N34" s="109">
        <v>44268</v>
      </c>
      <c r="O34" s="109">
        <v>172133</v>
      </c>
      <c r="P34" s="109">
        <v>100871</v>
      </c>
      <c r="Q34" s="105" t="e">
        <f>NA()</f>
        <v>#N/A</v>
      </c>
    </row>
    <row r="35" spans="1:17" ht="11.25">
      <c r="A35" s="1">
        <v>1998</v>
      </c>
      <c r="B35" s="107" t="e">
        <f t="shared" si="4"/>
        <v>#N/A</v>
      </c>
      <c r="C35" s="109">
        <v>140025</v>
      </c>
      <c r="D35" s="109">
        <v>94193</v>
      </c>
      <c r="E35" s="109">
        <v>62815</v>
      </c>
      <c r="F35" s="109">
        <v>44481</v>
      </c>
      <c r="G35" s="109">
        <v>507194</v>
      </c>
      <c r="H35" s="109">
        <v>872398</v>
      </c>
      <c r="I35" s="109">
        <v>16669</v>
      </c>
      <c r="J35" s="109">
        <v>15466</v>
      </c>
      <c r="K35" s="109">
        <v>341299</v>
      </c>
      <c r="L35" s="109">
        <v>7308</v>
      </c>
      <c r="M35" s="109">
        <v>121658</v>
      </c>
      <c r="N35" s="109">
        <v>45961</v>
      </c>
      <c r="O35" s="109">
        <v>173061</v>
      </c>
      <c r="P35" s="109">
        <v>101814</v>
      </c>
      <c r="Q35" s="105" t="e">
        <f>NA()</f>
        <v>#N/A</v>
      </c>
    </row>
    <row r="36" spans="1:17" ht="11.25">
      <c r="A36" s="45">
        <v>1999</v>
      </c>
      <c r="B36" s="107" t="e">
        <f t="shared" si="4"/>
        <v>#N/A</v>
      </c>
      <c r="C36" s="110" t="e">
        <f>NA()</f>
        <v>#N/A</v>
      </c>
      <c r="D36" s="109">
        <v>95702</v>
      </c>
      <c r="E36" s="109">
        <v>60808</v>
      </c>
      <c r="F36" s="109">
        <v>44305</v>
      </c>
      <c r="G36" s="109">
        <v>520735</v>
      </c>
      <c r="H36" s="109">
        <v>941718</v>
      </c>
      <c r="I36" s="110" t="e">
        <f>NA()</f>
        <v>#N/A</v>
      </c>
      <c r="J36" s="109">
        <v>15199</v>
      </c>
      <c r="K36" s="109">
        <v>329883</v>
      </c>
      <c r="L36" s="110" t="e">
        <f>NA()</f>
        <v>#N/A</v>
      </c>
      <c r="M36" s="110" t="e">
        <f>NA()</f>
        <v>#N/A</v>
      </c>
      <c r="N36" s="109">
        <v>39164</v>
      </c>
      <c r="O36" s="109">
        <v>175543</v>
      </c>
      <c r="P36" s="109">
        <v>103827</v>
      </c>
      <c r="Q36" s="110" t="e">
        <f>NA()</f>
        <v>#N/A</v>
      </c>
    </row>
    <row r="38" s="1" customFormat="1" ht="11.25">
      <c r="A38" s="5" t="s">
        <v>67</v>
      </c>
    </row>
    <row r="39" spans="1:17" s="1" customFormat="1" ht="11.25">
      <c r="A39" s="5"/>
      <c r="B39" s="90" t="e">
        <f aca="true" t="shared" si="5" ref="B39:O39">B36-B27</f>
        <v>#N/A</v>
      </c>
      <c r="C39" s="90" t="e">
        <f t="shared" si="5"/>
        <v>#N/A</v>
      </c>
      <c r="D39" s="90">
        <f t="shared" si="5"/>
        <v>3592</v>
      </c>
      <c r="E39" s="90">
        <f t="shared" si="5"/>
        <v>8648</v>
      </c>
      <c r="F39" s="90">
        <f t="shared" si="5"/>
        <v>3267</v>
      </c>
      <c r="G39" s="90">
        <f t="shared" si="5"/>
        <v>33065</v>
      </c>
      <c r="H39" s="90" t="e">
        <f t="shared" si="5"/>
        <v>#N/A</v>
      </c>
      <c r="I39" s="90" t="e">
        <f t="shared" si="5"/>
        <v>#N/A</v>
      </c>
      <c r="J39" s="90">
        <f t="shared" si="5"/>
        <v>962</v>
      </c>
      <c r="K39" s="90">
        <f t="shared" si="5"/>
        <v>27657</v>
      </c>
      <c r="L39" s="90" t="e">
        <f t="shared" si="5"/>
        <v>#N/A</v>
      </c>
      <c r="M39" s="90" t="e">
        <f t="shared" si="5"/>
        <v>#N/A</v>
      </c>
      <c r="N39" s="90" t="e">
        <f t="shared" si="5"/>
        <v>#N/A</v>
      </c>
      <c r="O39" s="90">
        <f t="shared" si="5"/>
        <v>6637</v>
      </c>
      <c r="P39" s="90">
        <f>P36-P27</f>
        <v>4193</v>
      </c>
      <c r="Q39" s="90" t="e">
        <f>Q36-Q27</f>
        <v>#N/A</v>
      </c>
    </row>
    <row r="40" spans="1:17" s="1" customFormat="1" ht="11.25">
      <c r="A40" s="5" t="s">
        <v>15</v>
      </c>
      <c r="B40" s="90"/>
      <c r="C40" s="90"/>
      <c r="D40" s="90"/>
      <c r="E40" s="90"/>
      <c r="F40" s="90"/>
      <c r="G40" s="90"/>
      <c r="H40" s="90"/>
      <c r="I40" s="90"/>
      <c r="J40" s="90"/>
      <c r="K40" s="90"/>
      <c r="L40" s="90"/>
      <c r="M40" s="90"/>
      <c r="N40" s="90"/>
      <c r="O40" s="90"/>
      <c r="P40" s="90"/>
      <c r="Q40" s="90"/>
    </row>
    <row r="41" spans="1:17" s="2" customFormat="1" ht="11.25">
      <c r="A41" s="7"/>
      <c r="B41" s="93" t="e">
        <f>POWER((B36/B27),(1/($A36-$A27)))-1</f>
        <v>#N/A</v>
      </c>
      <c r="C41" s="93" t="e">
        <f>POWER((C36/C27),(1/($A36-$A27)))-1</f>
        <v>#N/A</v>
      </c>
      <c r="D41" s="93"/>
      <c r="E41" s="93">
        <f>POWER((E36/E27),(1/($A36-$A27)))-1</f>
        <v>0.017191144809922676</v>
      </c>
      <c r="F41" s="93">
        <f>POWER((F36/F27),(1/($A36-$A27)))-1</f>
        <v>0.008547329461846775</v>
      </c>
      <c r="G41" s="93">
        <f>POWER((G36/G27),(1/($A36-$A27)))-1</f>
        <v>0.007315778002973561</v>
      </c>
      <c r="H41" s="93" t="e">
        <f>POWER((H36/H27),(1/($A36-$A27)))-1</f>
        <v>#N/A</v>
      </c>
      <c r="I41" s="93" t="e">
        <f>POWER((I36/I27),(1/($A36-$A27)))-1</f>
        <v>#N/A</v>
      </c>
      <c r="J41" s="93"/>
      <c r="K41" s="93">
        <f aca="true" t="shared" si="6" ref="K41:Q41">POWER((K36/K27),(1/($A36-$A27)))-1</f>
        <v>0.009776700960417273</v>
      </c>
      <c r="L41" s="93" t="e">
        <f t="shared" si="6"/>
        <v>#N/A</v>
      </c>
      <c r="M41" s="93" t="e">
        <f t="shared" si="6"/>
        <v>#N/A</v>
      </c>
      <c r="N41" s="93" t="e">
        <f t="shared" si="6"/>
        <v>#N/A</v>
      </c>
      <c r="O41" s="93">
        <f t="shared" si="6"/>
        <v>0.004291591502647352</v>
      </c>
      <c r="P41" s="93">
        <f t="shared" si="6"/>
        <v>0.004590792292692436</v>
      </c>
      <c r="Q41" s="93" t="e">
        <f t="shared" si="6"/>
        <v>#N/A</v>
      </c>
    </row>
    <row r="42" spans="1:17" s="1" customFormat="1" ht="11.25">
      <c r="A42" s="5" t="s">
        <v>16</v>
      </c>
      <c r="B42" s="90"/>
      <c r="C42" s="90"/>
      <c r="D42" s="90"/>
      <c r="E42" s="90"/>
      <c r="F42" s="90"/>
      <c r="G42" s="90"/>
      <c r="H42" s="90"/>
      <c r="I42" s="90"/>
      <c r="J42" s="90"/>
      <c r="K42" s="90"/>
      <c r="L42" s="90"/>
      <c r="M42" s="90"/>
      <c r="N42" s="90"/>
      <c r="O42" s="90"/>
      <c r="P42" s="90"/>
      <c r="Q42" s="90"/>
    </row>
    <row r="43" spans="1:17" s="1" customFormat="1" ht="11.25">
      <c r="A43" s="5"/>
      <c r="B43" s="93" t="e">
        <f>+B36/B27-1</f>
        <v>#N/A</v>
      </c>
      <c r="C43" s="93" t="e">
        <f>+C36/C27-1</f>
        <v>#N/A</v>
      </c>
      <c r="D43" s="93"/>
      <c r="E43" s="93">
        <f>+E36/E27-1</f>
        <v>0.16579754601227004</v>
      </c>
      <c r="F43" s="93">
        <f>+F36/F27-1</f>
        <v>0.07960914274574793</v>
      </c>
      <c r="G43" s="93">
        <f>+G36/G27-1</f>
        <v>0.06780199725224034</v>
      </c>
      <c r="H43" s="93" t="e">
        <f>+H36/H27-1</f>
        <v>#N/A</v>
      </c>
      <c r="I43" s="93" t="e">
        <f>+I36/I27-1</f>
        <v>#N/A</v>
      </c>
      <c r="J43" s="93"/>
      <c r="K43" s="93">
        <f aca="true" t="shared" si="7" ref="K43:Q43">+K36/K27-1</f>
        <v>0.09151098846558536</v>
      </c>
      <c r="L43" s="93" t="e">
        <f t="shared" si="7"/>
        <v>#N/A</v>
      </c>
      <c r="M43" s="93" t="e">
        <f t="shared" si="7"/>
        <v>#N/A</v>
      </c>
      <c r="N43" s="93" t="e">
        <f t="shared" si="7"/>
        <v>#N/A</v>
      </c>
      <c r="O43" s="93">
        <f t="shared" si="7"/>
        <v>0.03929404520857749</v>
      </c>
      <c r="P43" s="93">
        <f t="shared" si="7"/>
        <v>0.04208402754079943</v>
      </c>
      <c r="Q43" s="93" t="e">
        <f t="shared" si="7"/>
        <v>#N/A</v>
      </c>
    </row>
    <row r="44" spans="1:17" s="1" customFormat="1" ht="11.25">
      <c r="A44" s="5"/>
      <c r="B44" s="5"/>
      <c r="C44" s="5"/>
      <c r="D44" s="5"/>
      <c r="E44" s="5"/>
      <c r="F44" s="5"/>
      <c r="G44" s="5"/>
      <c r="H44" s="5"/>
      <c r="I44" s="5"/>
      <c r="J44" s="5"/>
      <c r="K44" s="5"/>
      <c r="L44" s="5"/>
      <c r="M44" s="5"/>
      <c r="N44" s="5"/>
      <c r="O44" s="10"/>
      <c r="P44" s="10"/>
      <c r="Q44" s="10"/>
    </row>
    <row r="45" spans="1:15" s="1" customFormat="1" ht="11.25">
      <c r="A45" s="5" t="s">
        <v>78</v>
      </c>
      <c r="B45" s="5" t="s">
        <v>77</v>
      </c>
      <c r="C45" s="5"/>
      <c r="D45" s="5"/>
      <c r="E45" s="5"/>
      <c r="F45" s="5"/>
      <c r="G45" s="5"/>
      <c r="H45" s="5"/>
      <c r="I45" s="5"/>
      <c r="J45" s="5"/>
      <c r="K45" s="5"/>
      <c r="L45" s="5"/>
      <c r="M45" s="5"/>
      <c r="N45" s="5"/>
      <c r="O45" s="10"/>
    </row>
  </sheetData>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3:N153"/>
  <sheetViews>
    <sheetView workbookViewId="0" topLeftCell="A18">
      <selection activeCell="M45" sqref="M45"/>
    </sheetView>
  </sheetViews>
  <sheetFormatPr defaultColWidth="9.00390625" defaultRowHeight="12.75"/>
  <cols>
    <col min="1" max="1" width="12.625" style="45" customWidth="1"/>
    <col min="2" max="2" width="9.125" style="45" customWidth="1"/>
    <col min="3" max="3" width="12.375" style="45" bestFit="1" customWidth="1"/>
    <col min="4" max="13" width="9.00390625" style="45" bestFit="1" customWidth="1"/>
    <col min="14" max="14" width="10.625" style="45" bestFit="1" customWidth="1"/>
    <col min="15" max="16384" width="9.125" style="45" customWidth="1"/>
  </cols>
  <sheetData>
    <row r="3" spans="1:14" ht="11.25">
      <c r="A3" s="70" t="s">
        <v>97</v>
      </c>
      <c r="B3" s="71"/>
      <c r="C3" s="71"/>
      <c r="D3" s="70" t="s">
        <v>98</v>
      </c>
      <c r="E3" s="71"/>
      <c r="F3" s="71"/>
      <c r="G3" s="71"/>
      <c r="H3" s="71"/>
      <c r="I3" s="71"/>
      <c r="J3" s="71"/>
      <c r="K3" s="71"/>
      <c r="L3" s="71"/>
      <c r="M3" s="71"/>
      <c r="N3" s="72"/>
    </row>
    <row r="4" spans="1:14" ht="11.25">
      <c r="A4" s="70" t="s">
        <v>99</v>
      </c>
      <c r="B4" s="70" t="s">
        <v>100</v>
      </c>
      <c r="C4" s="70" t="s">
        <v>101</v>
      </c>
      <c r="D4" s="73" t="s">
        <v>102</v>
      </c>
      <c r="E4" s="74" t="s">
        <v>103</v>
      </c>
      <c r="F4" s="74" t="s">
        <v>104</v>
      </c>
      <c r="G4" s="74" t="s">
        <v>105</v>
      </c>
      <c r="H4" s="74" t="s">
        <v>106</v>
      </c>
      <c r="I4" s="74" t="s">
        <v>107</v>
      </c>
      <c r="J4" s="74" t="s">
        <v>108</v>
      </c>
      <c r="K4" s="74" t="s">
        <v>109</v>
      </c>
      <c r="L4" s="74" t="s">
        <v>110</v>
      </c>
      <c r="M4" s="74" t="s">
        <v>111</v>
      </c>
      <c r="N4" s="75" t="s">
        <v>112</v>
      </c>
    </row>
    <row r="5" spans="1:14" ht="11.25">
      <c r="A5" s="73" t="s">
        <v>113</v>
      </c>
      <c r="B5" s="73" t="s">
        <v>114</v>
      </c>
      <c r="C5" s="73" t="s">
        <v>115</v>
      </c>
      <c r="D5" s="76"/>
      <c r="E5" s="77"/>
      <c r="F5" s="77"/>
      <c r="G5" s="77"/>
      <c r="H5" s="77"/>
      <c r="I5" s="77">
        <v>1113</v>
      </c>
      <c r="J5" s="77">
        <v>1006</v>
      </c>
      <c r="K5" s="77">
        <v>733</v>
      </c>
      <c r="L5" s="77"/>
      <c r="M5" s="77"/>
      <c r="N5" s="78">
        <v>2852</v>
      </c>
    </row>
    <row r="6" spans="1:14" ht="11.25">
      <c r="A6" s="79"/>
      <c r="B6" s="79"/>
      <c r="C6" s="80" t="s">
        <v>116</v>
      </c>
      <c r="D6" s="68"/>
      <c r="E6" s="69"/>
      <c r="F6" s="69"/>
      <c r="G6" s="69"/>
      <c r="H6" s="69">
        <v>1147</v>
      </c>
      <c r="I6" s="69">
        <v>1637</v>
      </c>
      <c r="J6" s="69">
        <v>1159</v>
      </c>
      <c r="K6" s="69">
        <v>1113</v>
      </c>
      <c r="L6" s="69"/>
      <c r="M6" s="69"/>
      <c r="N6" s="81">
        <v>5056</v>
      </c>
    </row>
    <row r="7" spans="1:14" ht="11.25">
      <c r="A7" s="79"/>
      <c r="B7" s="79"/>
      <c r="C7" s="80" t="s">
        <v>117</v>
      </c>
      <c r="D7" s="68">
        <v>115218</v>
      </c>
      <c r="E7" s="69">
        <v>128931</v>
      </c>
      <c r="F7" s="69">
        <v>138769</v>
      </c>
      <c r="G7" s="69">
        <v>138700</v>
      </c>
      <c r="H7" s="69">
        <v>135897</v>
      </c>
      <c r="I7" s="69">
        <v>131097</v>
      </c>
      <c r="J7" s="69">
        <v>122836</v>
      </c>
      <c r="K7" s="69">
        <v>127533</v>
      </c>
      <c r="L7" s="69">
        <v>140025</v>
      </c>
      <c r="M7" s="69"/>
      <c r="N7" s="81">
        <v>1179006</v>
      </c>
    </row>
    <row r="8" spans="1:14" ht="11.25">
      <c r="A8" s="79"/>
      <c r="B8" s="79"/>
      <c r="C8" s="80" t="s">
        <v>118</v>
      </c>
      <c r="D8" s="68"/>
      <c r="E8" s="69"/>
      <c r="F8" s="69"/>
      <c r="G8" s="69"/>
      <c r="H8" s="69"/>
      <c r="I8" s="69">
        <v>9469</v>
      </c>
      <c r="J8" s="69">
        <v>10105</v>
      </c>
      <c r="K8" s="69">
        <v>10476</v>
      </c>
      <c r="L8" s="69">
        <v>11355</v>
      </c>
      <c r="M8" s="69"/>
      <c r="N8" s="81">
        <v>41405</v>
      </c>
    </row>
    <row r="9" spans="1:14" ht="11.25">
      <c r="A9" s="79"/>
      <c r="B9" s="79"/>
      <c r="C9" s="80" t="s">
        <v>119</v>
      </c>
      <c r="D9" s="68">
        <v>92110</v>
      </c>
      <c r="E9" s="69">
        <v>93027</v>
      </c>
      <c r="F9" s="69">
        <v>93477</v>
      </c>
      <c r="G9" s="69">
        <v>91825</v>
      </c>
      <c r="H9" s="69">
        <v>90930</v>
      </c>
      <c r="I9" s="69">
        <v>88762</v>
      </c>
      <c r="J9" s="69">
        <v>90751</v>
      </c>
      <c r="K9" s="69">
        <v>91036</v>
      </c>
      <c r="L9" s="69">
        <v>94193</v>
      </c>
      <c r="M9" s="69">
        <v>95702</v>
      </c>
      <c r="N9" s="81">
        <v>921813</v>
      </c>
    </row>
    <row r="10" spans="1:14" ht="11.25">
      <c r="A10" s="79"/>
      <c r="B10" s="79"/>
      <c r="C10" s="80" t="s">
        <v>120</v>
      </c>
      <c r="D10" s="68">
        <v>58792</v>
      </c>
      <c r="E10" s="69">
        <v>47940</v>
      </c>
      <c r="F10" s="69">
        <v>47642</v>
      </c>
      <c r="G10" s="69">
        <v>47568</v>
      </c>
      <c r="H10" s="69">
        <v>47433</v>
      </c>
      <c r="I10" s="69">
        <v>47577</v>
      </c>
      <c r="J10" s="69">
        <v>45058</v>
      </c>
      <c r="K10" s="69">
        <v>45546</v>
      </c>
      <c r="L10" s="69">
        <v>41052</v>
      </c>
      <c r="M10" s="69"/>
      <c r="N10" s="81">
        <v>428608</v>
      </c>
    </row>
    <row r="11" spans="1:14" ht="11.25">
      <c r="A11" s="79"/>
      <c r="B11" s="79"/>
      <c r="C11" s="80" t="s">
        <v>121</v>
      </c>
      <c r="D11" s="68"/>
      <c r="E11" s="69"/>
      <c r="F11" s="69"/>
      <c r="G11" s="69"/>
      <c r="H11" s="69"/>
      <c r="I11" s="69"/>
      <c r="J11" s="69">
        <v>422</v>
      </c>
      <c r="K11" s="69">
        <v>2138</v>
      </c>
      <c r="L11" s="69">
        <v>2837</v>
      </c>
      <c r="M11" s="69"/>
      <c r="N11" s="81">
        <v>5397</v>
      </c>
    </row>
    <row r="12" spans="1:14" ht="11.25">
      <c r="A12" s="79"/>
      <c r="B12" s="79"/>
      <c r="C12" s="80" t="s">
        <v>122</v>
      </c>
      <c r="D12" s="68"/>
      <c r="E12" s="69"/>
      <c r="F12" s="69"/>
      <c r="G12" s="69">
        <v>73749</v>
      </c>
      <c r="H12" s="69">
        <v>64078</v>
      </c>
      <c r="I12" s="69">
        <v>61333</v>
      </c>
      <c r="J12" s="69">
        <v>60514</v>
      </c>
      <c r="K12" s="69">
        <v>61256</v>
      </c>
      <c r="L12" s="69">
        <v>59595</v>
      </c>
      <c r="M12" s="69"/>
      <c r="N12" s="81">
        <v>380525</v>
      </c>
    </row>
    <row r="13" spans="1:14" ht="11.25">
      <c r="A13" s="79"/>
      <c r="B13" s="79"/>
      <c r="C13" s="80" t="s">
        <v>123</v>
      </c>
      <c r="D13" s="68"/>
      <c r="E13" s="69"/>
      <c r="F13" s="69"/>
      <c r="G13" s="69">
        <v>135753</v>
      </c>
      <c r="H13" s="69">
        <v>145925</v>
      </c>
      <c r="I13" s="69">
        <v>140426</v>
      </c>
      <c r="J13" s="69">
        <v>135703</v>
      </c>
      <c r="K13" s="69">
        <v>141451</v>
      </c>
      <c r="L13" s="69">
        <v>129145</v>
      </c>
      <c r="M13" s="69"/>
      <c r="N13" s="81">
        <v>828403</v>
      </c>
    </row>
    <row r="14" spans="1:14" ht="11.25">
      <c r="A14" s="79"/>
      <c r="B14" s="79"/>
      <c r="C14" s="80" t="s">
        <v>124</v>
      </c>
      <c r="D14" s="68">
        <v>121809</v>
      </c>
      <c r="E14" s="69">
        <v>123677</v>
      </c>
      <c r="F14" s="69">
        <v>122121</v>
      </c>
      <c r="G14" s="69">
        <v>118379</v>
      </c>
      <c r="H14" s="69">
        <v>124638</v>
      </c>
      <c r="I14" s="69">
        <v>116818</v>
      </c>
      <c r="J14" s="69">
        <v>122101</v>
      </c>
      <c r="K14" s="69">
        <v>116814</v>
      </c>
      <c r="L14" s="69">
        <v>123487</v>
      </c>
      <c r="M14" s="69"/>
      <c r="N14" s="81">
        <v>1089844</v>
      </c>
    </row>
    <row r="15" spans="1:14" ht="11.25">
      <c r="A15" s="79"/>
      <c r="B15" s="79"/>
      <c r="C15" s="80" t="s">
        <v>125</v>
      </c>
      <c r="D15" s="68"/>
      <c r="E15" s="69"/>
      <c r="F15" s="69"/>
      <c r="G15" s="69">
        <v>143777</v>
      </c>
      <c r="H15" s="69">
        <v>148740</v>
      </c>
      <c r="I15" s="69">
        <v>158784</v>
      </c>
      <c r="J15" s="69">
        <v>153699</v>
      </c>
      <c r="K15" s="69">
        <v>144516</v>
      </c>
      <c r="L15" s="69">
        <v>137251</v>
      </c>
      <c r="M15" s="69">
        <v>136868</v>
      </c>
      <c r="N15" s="81">
        <v>1023635</v>
      </c>
    </row>
    <row r="16" spans="1:14" ht="11.25">
      <c r="A16" s="79"/>
      <c r="B16" s="79"/>
      <c r="C16" s="80" t="s">
        <v>126</v>
      </c>
      <c r="D16" s="68"/>
      <c r="E16" s="69"/>
      <c r="F16" s="69"/>
      <c r="G16" s="69">
        <v>871441</v>
      </c>
      <c r="H16" s="69">
        <v>878544</v>
      </c>
      <c r="I16" s="69">
        <v>870866</v>
      </c>
      <c r="J16" s="69">
        <v>867863</v>
      </c>
      <c r="K16" s="69">
        <v>838009</v>
      </c>
      <c r="L16" s="69">
        <v>872398</v>
      </c>
      <c r="M16" s="69">
        <v>941718</v>
      </c>
      <c r="N16" s="81">
        <v>6140839</v>
      </c>
    </row>
    <row r="17" spans="1:14" ht="11.25">
      <c r="A17" s="79"/>
      <c r="B17" s="79"/>
      <c r="C17" s="80" t="s">
        <v>127</v>
      </c>
      <c r="D17" s="68">
        <v>52160</v>
      </c>
      <c r="E17" s="69">
        <v>56240</v>
      </c>
      <c r="F17" s="69">
        <v>57881</v>
      </c>
      <c r="G17" s="69">
        <v>56863</v>
      </c>
      <c r="H17" s="69">
        <v>57410</v>
      </c>
      <c r="I17" s="69">
        <v>59883</v>
      </c>
      <c r="J17" s="69">
        <v>57794</v>
      </c>
      <c r="K17" s="69">
        <v>59741</v>
      </c>
      <c r="L17" s="69">
        <v>62815</v>
      </c>
      <c r="M17" s="69">
        <v>60808</v>
      </c>
      <c r="N17" s="81">
        <v>581595</v>
      </c>
    </row>
    <row r="18" spans="1:14" ht="11.25">
      <c r="A18" s="79"/>
      <c r="B18" s="79"/>
      <c r="C18" s="80" t="s">
        <v>128</v>
      </c>
      <c r="D18" s="68">
        <v>168906</v>
      </c>
      <c r="E18" s="69">
        <v>228700</v>
      </c>
      <c r="F18" s="69">
        <v>218441</v>
      </c>
      <c r="G18" s="69">
        <v>198213</v>
      </c>
      <c r="H18" s="69">
        <v>185992</v>
      </c>
      <c r="I18" s="69">
        <v>161073</v>
      </c>
      <c r="J18" s="69">
        <v>159575</v>
      </c>
      <c r="K18" s="69">
        <v>172133</v>
      </c>
      <c r="L18" s="69">
        <v>173061</v>
      </c>
      <c r="M18" s="69">
        <v>175543</v>
      </c>
      <c r="N18" s="81">
        <v>1841637</v>
      </c>
    </row>
    <row r="19" spans="1:14" ht="11.25">
      <c r="A19" s="79"/>
      <c r="B19" s="79"/>
      <c r="C19" s="80" t="s">
        <v>129</v>
      </c>
      <c r="D19" s="68"/>
      <c r="E19" s="69"/>
      <c r="F19" s="69">
        <v>8933</v>
      </c>
      <c r="G19" s="69">
        <v>8825</v>
      </c>
      <c r="H19" s="69">
        <v>8225</v>
      </c>
      <c r="I19" s="69">
        <v>8052</v>
      </c>
      <c r="J19" s="69">
        <v>7558</v>
      </c>
      <c r="K19" s="69">
        <v>8023</v>
      </c>
      <c r="L19" s="69">
        <v>8464</v>
      </c>
      <c r="M19" s="69"/>
      <c r="N19" s="81">
        <v>58080</v>
      </c>
    </row>
    <row r="20" spans="1:14" ht="11.25">
      <c r="A20" s="79"/>
      <c r="B20" s="79"/>
      <c r="C20" s="80" t="s">
        <v>130</v>
      </c>
      <c r="D20" s="68">
        <v>41038</v>
      </c>
      <c r="E20" s="69">
        <v>40114</v>
      </c>
      <c r="F20" s="69">
        <v>40197</v>
      </c>
      <c r="G20" s="69">
        <v>40876</v>
      </c>
      <c r="H20" s="69">
        <v>41344</v>
      </c>
      <c r="I20" s="69">
        <v>40973</v>
      </c>
      <c r="J20" s="69">
        <v>40621</v>
      </c>
      <c r="K20" s="69">
        <v>44137</v>
      </c>
      <c r="L20" s="69">
        <v>44481</v>
      </c>
      <c r="M20" s="69">
        <v>44305</v>
      </c>
      <c r="N20" s="81">
        <v>418086</v>
      </c>
    </row>
    <row r="21" spans="1:14" ht="11.25">
      <c r="A21" s="79"/>
      <c r="B21" s="79"/>
      <c r="C21" s="80" t="s">
        <v>131</v>
      </c>
      <c r="D21" s="68">
        <v>487670</v>
      </c>
      <c r="E21" s="69">
        <v>484373</v>
      </c>
      <c r="F21" s="69">
        <v>485396</v>
      </c>
      <c r="G21" s="69">
        <v>472448</v>
      </c>
      <c r="H21" s="69">
        <v>478474</v>
      </c>
      <c r="I21" s="69">
        <v>455032</v>
      </c>
      <c r="J21" s="69">
        <v>498451</v>
      </c>
      <c r="K21" s="69">
        <v>507128</v>
      </c>
      <c r="L21" s="69">
        <v>507194</v>
      </c>
      <c r="M21" s="69">
        <v>520735</v>
      </c>
      <c r="N21" s="81">
        <v>4896901</v>
      </c>
    </row>
    <row r="22" spans="1:14" ht="11.25">
      <c r="A22" s="79"/>
      <c r="B22" s="79"/>
      <c r="C22" s="80" t="s">
        <v>132</v>
      </c>
      <c r="D22" s="68"/>
      <c r="E22" s="69">
        <v>431042</v>
      </c>
      <c r="F22" s="69">
        <v>427087</v>
      </c>
      <c r="G22" s="69">
        <v>419247</v>
      </c>
      <c r="H22" s="69">
        <v>408340</v>
      </c>
      <c r="I22" s="69"/>
      <c r="J22" s="69"/>
      <c r="K22" s="69"/>
      <c r="L22" s="69"/>
      <c r="M22" s="69"/>
      <c r="N22" s="81">
        <v>1685716</v>
      </c>
    </row>
    <row r="23" spans="1:14" ht="11.25">
      <c r="A23" s="79"/>
      <c r="B23" s="79"/>
      <c r="C23" s="80" t="s">
        <v>133</v>
      </c>
      <c r="D23" s="68"/>
      <c r="E23" s="69"/>
      <c r="F23" s="69"/>
      <c r="G23" s="69"/>
      <c r="H23" s="69"/>
      <c r="I23" s="69">
        <v>3917</v>
      </c>
      <c r="J23" s="69">
        <v>4215</v>
      </c>
      <c r="K23" s="69">
        <v>5239</v>
      </c>
      <c r="L23" s="69">
        <v>5960</v>
      </c>
      <c r="M23" s="69"/>
      <c r="N23" s="81">
        <v>19331</v>
      </c>
    </row>
    <row r="24" spans="1:14" ht="11.25">
      <c r="A24" s="79"/>
      <c r="B24" s="79"/>
      <c r="C24" s="80" t="s">
        <v>134</v>
      </c>
      <c r="D24" s="68"/>
      <c r="E24" s="69">
        <v>16236</v>
      </c>
      <c r="F24" s="69">
        <v>15489</v>
      </c>
      <c r="G24" s="69">
        <v>16441</v>
      </c>
      <c r="H24" s="69">
        <v>17071</v>
      </c>
      <c r="I24" s="69">
        <v>18215</v>
      </c>
      <c r="J24" s="69">
        <v>19235</v>
      </c>
      <c r="K24" s="69">
        <v>18514</v>
      </c>
      <c r="L24" s="69">
        <v>16669</v>
      </c>
      <c r="M24" s="69"/>
      <c r="N24" s="81">
        <v>137870</v>
      </c>
    </row>
    <row r="25" spans="1:14" ht="11.25">
      <c r="A25" s="79"/>
      <c r="B25" s="79"/>
      <c r="C25" s="80" t="s">
        <v>135</v>
      </c>
      <c r="D25" s="68"/>
      <c r="E25" s="69"/>
      <c r="F25" s="69">
        <v>20535</v>
      </c>
      <c r="G25" s="69">
        <v>25135</v>
      </c>
      <c r="H25" s="69">
        <v>27446</v>
      </c>
      <c r="I25" s="69">
        <v>24922</v>
      </c>
      <c r="J25" s="69">
        <v>27153</v>
      </c>
      <c r="K25" s="69">
        <v>27368</v>
      </c>
      <c r="L25" s="69">
        <v>27207</v>
      </c>
      <c r="M25" s="69">
        <v>25642</v>
      </c>
      <c r="N25" s="81">
        <v>205408</v>
      </c>
    </row>
    <row r="26" spans="1:14" ht="11.25">
      <c r="A26" s="79"/>
      <c r="B26" s="79"/>
      <c r="C26" s="80" t="s">
        <v>136</v>
      </c>
      <c r="D26" s="68">
        <v>104672</v>
      </c>
      <c r="E26" s="69">
        <v>98045</v>
      </c>
      <c r="F26" s="69">
        <v>97126</v>
      </c>
      <c r="G26" s="69">
        <v>99507</v>
      </c>
      <c r="H26" s="69">
        <v>98303</v>
      </c>
      <c r="I26" s="69">
        <v>102181</v>
      </c>
      <c r="J26" s="69">
        <v>95457</v>
      </c>
      <c r="K26" s="69">
        <v>104020</v>
      </c>
      <c r="L26" s="69">
        <v>103009</v>
      </c>
      <c r="M26" s="69">
        <v>102988</v>
      </c>
      <c r="N26" s="81">
        <v>1005308</v>
      </c>
    </row>
    <row r="27" spans="1:14" ht="11.25">
      <c r="A27" s="79"/>
      <c r="B27" s="79"/>
      <c r="C27" s="80" t="s">
        <v>137</v>
      </c>
      <c r="D27" s="68">
        <v>14237</v>
      </c>
      <c r="E27" s="69"/>
      <c r="F27" s="69">
        <v>13861</v>
      </c>
      <c r="G27" s="69">
        <v>13767</v>
      </c>
      <c r="H27" s="69">
        <v>13709</v>
      </c>
      <c r="I27" s="69">
        <v>14383</v>
      </c>
      <c r="J27" s="69">
        <v>15388</v>
      </c>
      <c r="K27" s="69">
        <v>15314</v>
      </c>
      <c r="L27" s="69">
        <v>15466</v>
      </c>
      <c r="M27" s="69">
        <v>15199</v>
      </c>
      <c r="N27" s="81">
        <v>131324</v>
      </c>
    </row>
    <row r="28" spans="1:14" ht="11.25">
      <c r="A28" s="79"/>
      <c r="B28" s="79"/>
      <c r="C28" s="80" t="s">
        <v>138</v>
      </c>
      <c r="D28" s="68"/>
      <c r="E28" s="69"/>
      <c r="F28" s="69"/>
      <c r="G28" s="69"/>
      <c r="H28" s="69"/>
      <c r="I28" s="69">
        <v>3260</v>
      </c>
      <c r="J28" s="69">
        <v>3376</v>
      </c>
      <c r="K28" s="69">
        <v>3411</v>
      </c>
      <c r="L28" s="69">
        <v>3561</v>
      </c>
      <c r="M28" s="69">
        <v>4674</v>
      </c>
      <c r="N28" s="81">
        <v>18282</v>
      </c>
    </row>
    <row r="29" spans="1:14" ht="11.25">
      <c r="A29" s="79"/>
      <c r="B29" s="79"/>
      <c r="C29" s="80" t="s">
        <v>139</v>
      </c>
      <c r="D29" s="68">
        <v>302226</v>
      </c>
      <c r="E29" s="69">
        <v>316407</v>
      </c>
      <c r="F29" s="69">
        <v>319400</v>
      </c>
      <c r="G29" s="69">
        <v>312433</v>
      </c>
      <c r="H29" s="69">
        <v>323189</v>
      </c>
      <c r="I29" s="69">
        <v>344400</v>
      </c>
      <c r="J29" s="69">
        <v>345774</v>
      </c>
      <c r="K29" s="69">
        <v>345511</v>
      </c>
      <c r="L29" s="69">
        <v>341299</v>
      </c>
      <c r="M29" s="69">
        <v>329883</v>
      </c>
      <c r="N29" s="81">
        <v>3280522</v>
      </c>
    </row>
    <row r="30" spans="1:14" ht="11.25">
      <c r="A30" s="79"/>
      <c r="B30" s="79"/>
      <c r="C30" s="80" t="s">
        <v>140</v>
      </c>
      <c r="D30" s="68"/>
      <c r="E30" s="69"/>
      <c r="F30" s="69"/>
      <c r="G30" s="69"/>
      <c r="H30" s="69"/>
      <c r="I30" s="69">
        <v>117711</v>
      </c>
      <c r="J30" s="69">
        <v>118673</v>
      </c>
      <c r="K30" s="69">
        <v>106885</v>
      </c>
      <c r="L30" s="69">
        <v>97387</v>
      </c>
      <c r="M30" s="69"/>
      <c r="N30" s="81">
        <v>440656</v>
      </c>
    </row>
    <row r="31" spans="1:14" ht="11.25">
      <c r="A31" s="79"/>
      <c r="B31" s="79"/>
      <c r="C31" s="80" t="s">
        <v>141</v>
      </c>
      <c r="D31" s="68"/>
      <c r="E31" s="69"/>
      <c r="F31" s="69"/>
      <c r="G31" s="69"/>
      <c r="H31" s="69"/>
      <c r="I31" s="69">
        <v>1425</v>
      </c>
      <c r="J31" s="69">
        <v>1546</v>
      </c>
      <c r="K31" s="69">
        <v>1321</v>
      </c>
      <c r="L31" s="69"/>
      <c r="M31" s="69"/>
      <c r="N31" s="81">
        <v>4292</v>
      </c>
    </row>
    <row r="32" spans="1:14" ht="11.25">
      <c r="A32" s="79"/>
      <c r="B32" s="79"/>
      <c r="C32" s="80" t="s">
        <v>142</v>
      </c>
      <c r="D32" s="68"/>
      <c r="E32" s="69"/>
      <c r="F32" s="69">
        <v>21562</v>
      </c>
      <c r="G32" s="69">
        <v>20848</v>
      </c>
      <c r="H32" s="69">
        <v>18639</v>
      </c>
      <c r="I32" s="69">
        <v>17006</v>
      </c>
      <c r="J32" s="69">
        <v>16829</v>
      </c>
      <c r="K32" s="69">
        <v>16172</v>
      </c>
      <c r="L32" s="69">
        <v>15482</v>
      </c>
      <c r="M32" s="69">
        <v>14627</v>
      </c>
      <c r="N32" s="81">
        <v>141165</v>
      </c>
    </row>
    <row r="33" spans="1:14" ht="11.25">
      <c r="A33" s="79"/>
      <c r="B33" s="79"/>
      <c r="C33" s="80" t="s">
        <v>143</v>
      </c>
      <c r="D33" s="68">
        <v>4903</v>
      </c>
      <c r="E33" s="69">
        <v>6370</v>
      </c>
      <c r="F33" s="69">
        <v>6346</v>
      </c>
      <c r="G33" s="69">
        <v>6981</v>
      </c>
      <c r="H33" s="69">
        <v>7233</v>
      </c>
      <c r="I33" s="69">
        <v>7208</v>
      </c>
      <c r="J33" s="69">
        <v>7282</v>
      </c>
      <c r="K33" s="69">
        <v>7140</v>
      </c>
      <c r="L33" s="69">
        <v>7308</v>
      </c>
      <c r="M33" s="69"/>
      <c r="N33" s="81">
        <v>60771</v>
      </c>
    </row>
    <row r="34" spans="1:14" ht="11.25">
      <c r="A34" s="79"/>
      <c r="B34" s="79"/>
      <c r="C34" s="80" t="s">
        <v>144</v>
      </c>
      <c r="D34" s="68">
        <v>29082</v>
      </c>
      <c r="E34" s="69"/>
      <c r="F34" s="69">
        <v>22012</v>
      </c>
      <c r="G34" s="69">
        <v>21151</v>
      </c>
      <c r="H34" s="69">
        <v>20624</v>
      </c>
      <c r="I34" s="69">
        <v>18870</v>
      </c>
      <c r="J34" s="69">
        <v>20444</v>
      </c>
      <c r="K34" s="69">
        <v>21481</v>
      </c>
      <c r="L34" s="69">
        <v>19910</v>
      </c>
      <c r="M34" s="69">
        <v>18241</v>
      </c>
      <c r="N34" s="81">
        <v>191815</v>
      </c>
    </row>
    <row r="35" spans="1:14" ht="11.25">
      <c r="A35" s="79"/>
      <c r="B35" s="79"/>
      <c r="C35" s="80" t="s">
        <v>145</v>
      </c>
      <c r="D35" s="68"/>
      <c r="E35" s="69"/>
      <c r="F35" s="69">
        <v>11602</v>
      </c>
      <c r="G35" s="69">
        <v>9426</v>
      </c>
      <c r="H35" s="69">
        <v>8313</v>
      </c>
      <c r="I35" s="69">
        <v>7801</v>
      </c>
      <c r="J35" s="69">
        <v>7154</v>
      </c>
      <c r="K35" s="69">
        <v>5844</v>
      </c>
      <c r="L35" s="69">
        <v>5339</v>
      </c>
      <c r="M35" s="69">
        <v>3794</v>
      </c>
      <c r="N35" s="81">
        <v>59273</v>
      </c>
    </row>
    <row r="36" spans="1:14" ht="11.25">
      <c r="A36" s="79"/>
      <c r="B36" s="79"/>
      <c r="C36" s="80" t="s">
        <v>146</v>
      </c>
      <c r="D36" s="68"/>
      <c r="E36" s="69"/>
      <c r="F36" s="69">
        <v>3719</v>
      </c>
      <c r="G36" s="69">
        <v>3575</v>
      </c>
      <c r="H36" s="69">
        <v>2812</v>
      </c>
      <c r="I36" s="69">
        <v>2899</v>
      </c>
      <c r="J36" s="69">
        <v>3186</v>
      </c>
      <c r="K36" s="69">
        <v>2785</v>
      </c>
      <c r="L36" s="69">
        <v>2751</v>
      </c>
      <c r="M36" s="69">
        <v>2769</v>
      </c>
      <c r="N36" s="81">
        <v>24496</v>
      </c>
    </row>
    <row r="37" spans="1:14" ht="11.25">
      <c r="A37" s="79"/>
      <c r="B37" s="79"/>
      <c r="C37" s="80" t="s">
        <v>147</v>
      </c>
      <c r="D37" s="68">
        <v>117314</v>
      </c>
      <c r="E37" s="69">
        <v>117856</v>
      </c>
      <c r="F37" s="69">
        <v>118484</v>
      </c>
      <c r="G37" s="69">
        <v>122405</v>
      </c>
      <c r="H37" s="69">
        <v>117794</v>
      </c>
      <c r="I37" s="69">
        <v>119656</v>
      </c>
      <c r="J37" s="69">
        <v>119200</v>
      </c>
      <c r="K37" s="69">
        <v>121247</v>
      </c>
      <c r="L37" s="69">
        <v>121658</v>
      </c>
      <c r="M37" s="69"/>
      <c r="N37" s="81">
        <v>1075614</v>
      </c>
    </row>
    <row r="38" spans="1:14" ht="11.25">
      <c r="A38" s="79"/>
      <c r="B38" s="79"/>
      <c r="C38" s="80" t="s">
        <v>148</v>
      </c>
      <c r="D38" s="68">
        <v>36705</v>
      </c>
      <c r="E38" s="69">
        <v>33047</v>
      </c>
      <c r="F38" s="69">
        <v>33690</v>
      </c>
      <c r="G38" s="69">
        <v>34060</v>
      </c>
      <c r="H38" s="69">
        <v>37181</v>
      </c>
      <c r="I38" s="69">
        <v>36568</v>
      </c>
      <c r="J38" s="69">
        <v>37228</v>
      </c>
      <c r="K38" s="69">
        <v>36992</v>
      </c>
      <c r="L38" s="69">
        <v>37417</v>
      </c>
      <c r="M38" s="69">
        <v>35765</v>
      </c>
      <c r="N38" s="81">
        <v>358653</v>
      </c>
    </row>
    <row r="39" spans="1:14" ht="11.25">
      <c r="A39" s="79"/>
      <c r="B39" s="79"/>
      <c r="C39" s="80" t="s">
        <v>149</v>
      </c>
      <c r="D39" s="68">
        <v>360223</v>
      </c>
      <c r="E39" s="69"/>
      <c r="F39" s="69">
        <v>286233</v>
      </c>
      <c r="G39" s="69">
        <v>289302</v>
      </c>
      <c r="H39" s="69">
        <v>299835</v>
      </c>
      <c r="I39" s="69">
        <v>292426</v>
      </c>
      <c r="J39" s="69">
        <v>290503</v>
      </c>
      <c r="K39" s="69">
        <v>290971</v>
      </c>
      <c r="L39" s="69">
        <v>284182</v>
      </c>
      <c r="M39" s="69">
        <v>279317</v>
      </c>
      <c r="N39" s="81">
        <v>2672992</v>
      </c>
    </row>
    <row r="40" spans="1:14" ht="11.25">
      <c r="A40" s="79"/>
      <c r="B40" s="79"/>
      <c r="C40" s="80" t="s">
        <v>150</v>
      </c>
      <c r="D40" s="68"/>
      <c r="E40" s="69">
        <v>43720</v>
      </c>
      <c r="F40" s="69">
        <v>43634</v>
      </c>
      <c r="G40" s="69">
        <v>41582</v>
      </c>
      <c r="H40" s="69">
        <v>38677</v>
      </c>
      <c r="I40" s="69">
        <v>42285</v>
      </c>
      <c r="J40" s="69">
        <v>44112</v>
      </c>
      <c r="K40" s="69">
        <v>44268</v>
      </c>
      <c r="L40" s="69">
        <v>45961</v>
      </c>
      <c r="M40" s="69">
        <v>39164</v>
      </c>
      <c r="N40" s="81">
        <v>383403</v>
      </c>
    </row>
    <row r="41" spans="1:14" ht="11.25">
      <c r="A41" s="79"/>
      <c r="B41" s="79"/>
      <c r="C41" s="80" t="s">
        <v>151</v>
      </c>
      <c r="D41" s="68">
        <v>150406</v>
      </c>
      <c r="E41" s="69"/>
      <c r="F41" s="69">
        <v>121877</v>
      </c>
      <c r="G41" s="69">
        <v>118196</v>
      </c>
      <c r="H41" s="69">
        <v>116102</v>
      </c>
      <c r="I41" s="69">
        <v>122369</v>
      </c>
      <c r="J41" s="69">
        <v>125292</v>
      </c>
      <c r="K41" s="69">
        <v>123097</v>
      </c>
      <c r="L41" s="69">
        <v>109160</v>
      </c>
      <c r="M41" s="69">
        <v>97676</v>
      </c>
      <c r="N41" s="81">
        <v>1084175</v>
      </c>
    </row>
    <row r="42" spans="1:14" ht="11.25">
      <c r="A42" s="79"/>
      <c r="B42" s="79"/>
      <c r="C42" s="80" t="s">
        <v>152</v>
      </c>
      <c r="D42" s="68"/>
      <c r="E42" s="69"/>
      <c r="F42" s="69"/>
      <c r="G42" s="69">
        <v>1683568</v>
      </c>
      <c r="H42" s="69">
        <v>1419617</v>
      </c>
      <c r="I42" s="69">
        <v>1369552</v>
      </c>
      <c r="J42" s="69">
        <v>1266641</v>
      </c>
      <c r="K42" s="69">
        <v>1191032</v>
      </c>
      <c r="L42" s="69">
        <v>1103882</v>
      </c>
      <c r="M42" s="69">
        <v>1193360</v>
      </c>
      <c r="N42" s="81">
        <v>9227652</v>
      </c>
    </row>
    <row r="43" spans="1:14" ht="11.25">
      <c r="A43" s="79"/>
      <c r="B43" s="79"/>
      <c r="C43" s="80" t="s">
        <v>153</v>
      </c>
      <c r="D43" s="68"/>
      <c r="E43" s="69"/>
      <c r="F43" s="69">
        <v>64602</v>
      </c>
      <c r="G43" s="69">
        <v>60284</v>
      </c>
      <c r="H43" s="69">
        <v>63866</v>
      </c>
      <c r="I43" s="69">
        <v>64115</v>
      </c>
      <c r="J43" s="69">
        <v>60320</v>
      </c>
      <c r="K43" s="69">
        <v>62165</v>
      </c>
      <c r="L43" s="69">
        <v>59169</v>
      </c>
      <c r="M43" s="69">
        <v>56212</v>
      </c>
      <c r="N43" s="81">
        <v>490733</v>
      </c>
    </row>
    <row r="44" spans="1:14" ht="11.25">
      <c r="A44" s="79"/>
      <c r="B44" s="79"/>
      <c r="C44" s="80" t="s">
        <v>154</v>
      </c>
      <c r="D44" s="68">
        <v>22968</v>
      </c>
      <c r="E44" s="69">
        <v>19882</v>
      </c>
      <c r="F44" s="69">
        <v>17272</v>
      </c>
      <c r="G44" s="69">
        <v>17182</v>
      </c>
      <c r="H44" s="69">
        <v>18594</v>
      </c>
      <c r="I44" s="69">
        <v>19083</v>
      </c>
      <c r="J44" s="69">
        <v>18343</v>
      </c>
      <c r="K44" s="69">
        <v>18332</v>
      </c>
      <c r="L44" s="69">
        <v>18071</v>
      </c>
      <c r="M44" s="69">
        <v>18131</v>
      </c>
      <c r="N44" s="81">
        <v>187858</v>
      </c>
    </row>
    <row r="45" spans="1:14" ht="11.25">
      <c r="A45" s="79"/>
      <c r="B45" s="79"/>
      <c r="C45" s="80" t="s">
        <v>155</v>
      </c>
      <c r="D45" s="68">
        <v>99634</v>
      </c>
      <c r="E45" s="69">
        <v>97211</v>
      </c>
      <c r="F45" s="69">
        <v>95042</v>
      </c>
      <c r="G45" s="69">
        <v>92773</v>
      </c>
      <c r="H45" s="69">
        <v>97975</v>
      </c>
      <c r="I45" s="69">
        <v>102589</v>
      </c>
      <c r="J45" s="69">
        <v>105005</v>
      </c>
      <c r="K45" s="69">
        <v>100871</v>
      </c>
      <c r="L45" s="69">
        <v>101814</v>
      </c>
      <c r="M45" s="69">
        <v>103827</v>
      </c>
      <c r="N45" s="81">
        <v>996741</v>
      </c>
    </row>
    <row r="46" spans="1:14" ht="11.25">
      <c r="A46" s="79"/>
      <c r="B46" s="79"/>
      <c r="C46" s="80" t="s">
        <v>156</v>
      </c>
      <c r="D46" s="68"/>
      <c r="E46" s="69"/>
      <c r="F46" s="69"/>
      <c r="G46" s="69"/>
      <c r="H46" s="69">
        <v>2241</v>
      </c>
      <c r="I46" s="69">
        <v>1940</v>
      </c>
      <c r="J46" s="69">
        <v>1769</v>
      </c>
      <c r="K46" s="69">
        <v>1639</v>
      </c>
      <c r="L46" s="69">
        <v>1597</v>
      </c>
      <c r="M46" s="69">
        <v>1233</v>
      </c>
      <c r="N46" s="81">
        <v>10419</v>
      </c>
    </row>
    <row r="47" spans="1:14" ht="11.25">
      <c r="A47" s="79"/>
      <c r="B47" s="79"/>
      <c r="C47" s="80" t="s">
        <v>157</v>
      </c>
      <c r="D47" s="68"/>
      <c r="E47" s="69"/>
      <c r="F47" s="69"/>
      <c r="G47" s="69"/>
      <c r="H47" s="69">
        <v>13709</v>
      </c>
      <c r="I47" s="69">
        <v>12242</v>
      </c>
      <c r="J47" s="69">
        <v>10881</v>
      </c>
      <c r="K47" s="69">
        <v>10512</v>
      </c>
      <c r="L47" s="69">
        <v>10545</v>
      </c>
      <c r="M47" s="69"/>
      <c r="N47" s="81">
        <v>57889</v>
      </c>
    </row>
    <row r="48" spans="1:14" ht="11.25">
      <c r="A48" s="79"/>
      <c r="B48" s="79"/>
      <c r="C48" s="80" t="s">
        <v>158</v>
      </c>
      <c r="D48" s="68"/>
      <c r="E48" s="69"/>
      <c r="F48" s="69">
        <v>43295</v>
      </c>
      <c r="G48" s="69">
        <v>43850</v>
      </c>
      <c r="H48" s="69">
        <v>44140</v>
      </c>
      <c r="I48" s="69">
        <v>43355</v>
      </c>
      <c r="J48" s="69">
        <v>44524</v>
      </c>
      <c r="K48" s="69">
        <v>46391</v>
      </c>
      <c r="L48" s="69">
        <v>44295</v>
      </c>
      <c r="M48" s="69"/>
      <c r="N48" s="81">
        <v>309850</v>
      </c>
    </row>
    <row r="49" spans="1:14" ht="11.25">
      <c r="A49" s="79"/>
      <c r="B49" s="79"/>
      <c r="C49" s="80" t="s">
        <v>159</v>
      </c>
      <c r="D49" s="68"/>
      <c r="E49" s="69"/>
      <c r="F49" s="69"/>
      <c r="G49" s="69">
        <v>321001</v>
      </c>
      <c r="H49" s="69">
        <v>276100</v>
      </c>
      <c r="I49" s="69">
        <v>284937</v>
      </c>
      <c r="J49" s="69">
        <v>251262</v>
      </c>
      <c r="K49" s="69">
        <v>242193</v>
      </c>
      <c r="L49" s="69">
        <v>236940</v>
      </c>
      <c r="M49" s="69">
        <v>232694</v>
      </c>
      <c r="N49" s="81">
        <v>1845127</v>
      </c>
    </row>
    <row r="50" spans="1:14" ht="11.25">
      <c r="A50" s="79"/>
      <c r="B50" s="79"/>
      <c r="C50" s="80" t="s">
        <v>160</v>
      </c>
      <c r="D50" s="68">
        <v>10266900</v>
      </c>
      <c r="E50" s="69"/>
      <c r="F50" s="69"/>
      <c r="G50" s="69"/>
      <c r="H50" s="69">
        <v>10204553</v>
      </c>
      <c r="I50" s="69">
        <v>788327</v>
      </c>
      <c r="J50" s="69">
        <v>803590</v>
      </c>
      <c r="K50" s="69">
        <v>815852</v>
      </c>
      <c r="L50" s="69">
        <v>817167</v>
      </c>
      <c r="M50" s="69">
        <v>843955</v>
      </c>
      <c r="N50" s="81">
        <v>24540344</v>
      </c>
    </row>
    <row r="51" spans="1:14" ht="11.25">
      <c r="A51" s="79"/>
      <c r="B51" s="79"/>
      <c r="C51" s="80" t="s">
        <v>161</v>
      </c>
      <c r="D51" s="68"/>
      <c r="E51" s="69"/>
      <c r="F51" s="69"/>
      <c r="G51" s="69"/>
      <c r="H51" s="69"/>
      <c r="I51" s="69">
        <v>23670</v>
      </c>
      <c r="J51" s="69">
        <v>23693</v>
      </c>
      <c r="K51" s="69">
        <v>21640</v>
      </c>
      <c r="L51" s="69">
        <v>18045</v>
      </c>
      <c r="M51" s="69"/>
      <c r="N51" s="81">
        <v>87048</v>
      </c>
    </row>
    <row r="52" spans="1:14" ht="11.25">
      <c r="A52" s="79"/>
      <c r="B52" s="79"/>
      <c r="C52" s="80" t="s">
        <v>162</v>
      </c>
      <c r="D52" s="68"/>
      <c r="E52" s="69"/>
      <c r="F52" s="69"/>
      <c r="G52" s="69"/>
      <c r="H52" s="69"/>
      <c r="I52" s="69"/>
      <c r="J52" s="69"/>
      <c r="K52" s="69"/>
      <c r="L52" s="69">
        <v>28729</v>
      </c>
      <c r="M52" s="69">
        <v>19573</v>
      </c>
      <c r="N52" s="81">
        <v>48302</v>
      </c>
    </row>
    <row r="53" spans="1:14" ht="11.25">
      <c r="A53" s="79"/>
      <c r="B53" s="73" t="s">
        <v>163</v>
      </c>
      <c r="C53" s="71"/>
      <c r="D53" s="76">
        <v>12646973</v>
      </c>
      <c r="E53" s="77">
        <v>2382818</v>
      </c>
      <c r="F53" s="77">
        <v>2995725</v>
      </c>
      <c r="G53" s="77">
        <v>6171131</v>
      </c>
      <c r="H53" s="77">
        <v>16104840</v>
      </c>
      <c r="I53" s="77">
        <v>6360207</v>
      </c>
      <c r="J53" s="77">
        <v>6263291</v>
      </c>
      <c r="K53" s="77">
        <v>6179990</v>
      </c>
      <c r="L53" s="77">
        <v>6107333</v>
      </c>
      <c r="M53" s="77">
        <v>5414403</v>
      </c>
      <c r="N53" s="78">
        <v>70626711</v>
      </c>
    </row>
    <row r="54" spans="1:14" ht="11.25">
      <c r="A54" s="73" t="s">
        <v>164</v>
      </c>
      <c r="B54" s="71"/>
      <c r="C54" s="71"/>
      <c r="D54" s="76">
        <v>12646973</v>
      </c>
      <c r="E54" s="77">
        <v>2382818</v>
      </c>
      <c r="F54" s="77">
        <v>2995725</v>
      </c>
      <c r="G54" s="77">
        <v>6171131</v>
      </c>
      <c r="H54" s="77">
        <v>16104840</v>
      </c>
      <c r="I54" s="77">
        <v>6360207</v>
      </c>
      <c r="J54" s="77">
        <v>6263291</v>
      </c>
      <c r="K54" s="77">
        <v>6179990</v>
      </c>
      <c r="L54" s="77">
        <v>6107333</v>
      </c>
      <c r="M54" s="77">
        <v>5414403</v>
      </c>
      <c r="N54" s="78">
        <v>70626711</v>
      </c>
    </row>
    <row r="55" spans="1:14" ht="11.25">
      <c r="A55" s="73" t="s">
        <v>165</v>
      </c>
      <c r="B55" s="73" t="s">
        <v>114</v>
      </c>
      <c r="C55" s="73" t="s">
        <v>116</v>
      </c>
      <c r="D55" s="76"/>
      <c r="E55" s="77"/>
      <c r="F55" s="77"/>
      <c r="G55" s="77"/>
      <c r="H55" s="77"/>
      <c r="I55" s="77">
        <v>856</v>
      </c>
      <c r="J55" s="77">
        <v>584</v>
      </c>
      <c r="K55" s="77">
        <v>435</v>
      </c>
      <c r="L55" s="77"/>
      <c r="M55" s="77"/>
      <c r="N55" s="78">
        <v>1875</v>
      </c>
    </row>
    <row r="56" spans="1:14" ht="11.25">
      <c r="A56" s="79"/>
      <c r="B56" s="79"/>
      <c r="C56" s="80" t="s">
        <v>117</v>
      </c>
      <c r="D56" s="68">
        <v>75460</v>
      </c>
      <c r="E56" s="69"/>
      <c r="F56" s="69">
        <v>96511</v>
      </c>
      <c r="G56" s="69">
        <v>97032</v>
      </c>
      <c r="H56" s="69">
        <v>93606</v>
      </c>
      <c r="I56" s="69">
        <v>88693</v>
      </c>
      <c r="J56" s="69">
        <v>82539</v>
      </c>
      <c r="K56" s="69">
        <v>86194</v>
      </c>
      <c r="L56" s="69">
        <v>92800</v>
      </c>
      <c r="M56" s="69"/>
      <c r="N56" s="81">
        <v>712835</v>
      </c>
    </row>
    <row r="57" spans="1:14" ht="11.25">
      <c r="A57" s="79"/>
      <c r="B57" s="79"/>
      <c r="C57" s="80" t="s">
        <v>118</v>
      </c>
      <c r="D57" s="68"/>
      <c r="E57" s="69"/>
      <c r="F57" s="69"/>
      <c r="G57" s="69"/>
      <c r="H57" s="69"/>
      <c r="I57" s="69">
        <v>6307</v>
      </c>
      <c r="J57" s="69">
        <v>5960</v>
      </c>
      <c r="K57" s="69">
        <v>6216</v>
      </c>
      <c r="L57" s="69">
        <v>6134</v>
      </c>
      <c r="M57" s="69"/>
      <c r="N57" s="81">
        <v>24617</v>
      </c>
    </row>
    <row r="58" spans="1:14" ht="11.25">
      <c r="A58" s="79"/>
      <c r="B58" s="79"/>
      <c r="C58" s="80" t="s">
        <v>119</v>
      </c>
      <c r="D58" s="68">
        <v>70695</v>
      </c>
      <c r="E58" s="69">
        <v>71665</v>
      </c>
      <c r="F58" s="69">
        <v>72150</v>
      </c>
      <c r="G58" s="69">
        <v>72329</v>
      </c>
      <c r="H58" s="69">
        <v>72101</v>
      </c>
      <c r="I58" s="69">
        <v>70786</v>
      </c>
      <c r="J58" s="69">
        <v>72377</v>
      </c>
      <c r="K58" s="69">
        <v>72149</v>
      </c>
      <c r="L58" s="69">
        <v>74804</v>
      </c>
      <c r="M58" s="69">
        <v>76844</v>
      </c>
      <c r="N58" s="81">
        <v>725900</v>
      </c>
    </row>
    <row r="59" spans="1:14" ht="11.25">
      <c r="A59" s="79"/>
      <c r="B59" s="79"/>
      <c r="C59" s="80" t="s">
        <v>120</v>
      </c>
      <c r="D59" s="68">
        <v>35262</v>
      </c>
      <c r="E59" s="69">
        <v>34040</v>
      </c>
      <c r="F59" s="69">
        <v>34497</v>
      </c>
      <c r="G59" s="69">
        <v>33271</v>
      </c>
      <c r="H59" s="69">
        <v>32026</v>
      </c>
      <c r="I59" s="69">
        <v>30753</v>
      </c>
      <c r="J59" s="69">
        <v>29985</v>
      </c>
      <c r="K59" s="69">
        <v>30885</v>
      </c>
      <c r="L59" s="69">
        <v>29816</v>
      </c>
      <c r="M59" s="69"/>
      <c r="N59" s="81">
        <v>290535</v>
      </c>
    </row>
    <row r="60" spans="1:14" ht="11.25">
      <c r="A60" s="79"/>
      <c r="B60" s="79"/>
      <c r="C60" s="80" t="s">
        <v>121</v>
      </c>
      <c r="D60" s="68"/>
      <c r="E60" s="69"/>
      <c r="F60" s="69"/>
      <c r="G60" s="69"/>
      <c r="H60" s="69"/>
      <c r="I60" s="69"/>
      <c r="J60" s="69"/>
      <c r="K60" s="69">
        <v>564</v>
      </c>
      <c r="L60" s="69">
        <v>409</v>
      </c>
      <c r="M60" s="69"/>
      <c r="N60" s="81">
        <v>973</v>
      </c>
    </row>
    <row r="61" spans="1:14" ht="11.25">
      <c r="A61" s="79"/>
      <c r="B61" s="79"/>
      <c r="C61" s="80" t="s">
        <v>122</v>
      </c>
      <c r="D61" s="68"/>
      <c r="E61" s="69"/>
      <c r="F61" s="69"/>
      <c r="G61" s="69">
        <v>45516</v>
      </c>
      <c r="H61" s="69">
        <v>43639</v>
      </c>
      <c r="I61" s="69">
        <v>42984</v>
      </c>
      <c r="J61" s="69">
        <v>41576</v>
      </c>
      <c r="K61" s="69">
        <v>40082</v>
      </c>
      <c r="L61" s="69">
        <v>38947</v>
      </c>
      <c r="M61" s="69"/>
      <c r="N61" s="81">
        <v>252744</v>
      </c>
    </row>
    <row r="62" spans="1:14" ht="11.25">
      <c r="A62" s="79"/>
      <c r="B62" s="79"/>
      <c r="C62" s="80" t="s">
        <v>123</v>
      </c>
      <c r="D62" s="68"/>
      <c r="E62" s="69">
        <v>21412</v>
      </c>
      <c r="F62" s="69">
        <v>21942</v>
      </c>
      <c r="G62" s="69">
        <v>21808</v>
      </c>
      <c r="H62" s="69">
        <v>21720</v>
      </c>
      <c r="I62" s="69">
        <v>20526</v>
      </c>
      <c r="J62" s="69">
        <v>21691</v>
      </c>
      <c r="K62" s="69">
        <v>21826</v>
      </c>
      <c r="L62" s="69">
        <v>11181</v>
      </c>
      <c r="M62" s="69"/>
      <c r="N62" s="81">
        <v>162106</v>
      </c>
    </row>
    <row r="63" spans="1:14" ht="11.25">
      <c r="A63" s="79"/>
      <c r="B63" s="79"/>
      <c r="C63" s="80" t="s">
        <v>124</v>
      </c>
      <c r="D63" s="68">
        <v>94660</v>
      </c>
      <c r="E63" s="69">
        <v>96421</v>
      </c>
      <c r="F63" s="69">
        <v>95582</v>
      </c>
      <c r="G63" s="69">
        <v>94134</v>
      </c>
      <c r="H63" s="69">
        <v>93333</v>
      </c>
      <c r="I63" s="69">
        <v>90389</v>
      </c>
      <c r="J63" s="69">
        <v>89751</v>
      </c>
      <c r="K63" s="69">
        <v>90741</v>
      </c>
      <c r="L63" s="69"/>
      <c r="M63" s="69"/>
      <c r="N63" s="81">
        <v>745011</v>
      </c>
    </row>
    <row r="64" spans="1:14" ht="11.25">
      <c r="A64" s="79"/>
      <c r="B64" s="79"/>
      <c r="C64" s="80" t="s">
        <v>125</v>
      </c>
      <c r="D64" s="68"/>
      <c r="E64" s="69"/>
      <c r="F64" s="69"/>
      <c r="G64" s="69">
        <v>93261</v>
      </c>
      <c r="H64" s="69">
        <v>100135</v>
      </c>
      <c r="I64" s="69">
        <v>108048</v>
      </c>
      <c r="J64" s="69">
        <v>104250</v>
      </c>
      <c r="K64" s="69">
        <v>97412</v>
      </c>
      <c r="L64" s="69">
        <v>93298</v>
      </c>
      <c r="M64" s="69">
        <v>95710</v>
      </c>
      <c r="N64" s="81">
        <v>692114</v>
      </c>
    </row>
    <row r="65" spans="1:14" ht="11.25">
      <c r="A65" s="79"/>
      <c r="B65" s="79"/>
      <c r="C65" s="80" t="s">
        <v>126</v>
      </c>
      <c r="D65" s="68"/>
      <c r="E65" s="69"/>
      <c r="F65" s="69"/>
      <c r="G65" s="69">
        <v>633849</v>
      </c>
      <c r="H65" s="69">
        <v>645372</v>
      </c>
      <c r="I65" s="69">
        <v>651925</v>
      </c>
      <c r="J65" s="69">
        <v>661503</v>
      </c>
      <c r="K65" s="69">
        <v>646133</v>
      </c>
      <c r="L65" s="69">
        <v>683935</v>
      </c>
      <c r="M65" s="69">
        <v>726937</v>
      </c>
      <c r="N65" s="81">
        <v>4649654</v>
      </c>
    </row>
    <row r="66" spans="1:14" ht="11.25">
      <c r="A66" s="79"/>
      <c r="B66" s="79"/>
      <c r="C66" s="80" t="s">
        <v>127</v>
      </c>
      <c r="D66" s="68">
        <v>45230</v>
      </c>
      <c r="E66" s="69">
        <v>49370</v>
      </c>
      <c r="F66" s="69">
        <v>51046</v>
      </c>
      <c r="G66" s="69">
        <v>49936</v>
      </c>
      <c r="H66" s="69">
        <v>50437</v>
      </c>
      <c r="I66" s="69">
        <v>51011</v>
      </c>
      <c r="J66" s="69">
        <v>49481</v>
      </c>
      <c r="K66" s="69">
        <v>51113</v>
      </c>
      <c r="L66" s="69">
        <v>54405</v>
      </c>
      <c r="M66" s="69">
        <v>54975</v>
      </c>
      <c r="N66" s="81">
        <v>507004</v>
      </c>
    </row>
    <row r="67" spans="1:14" ht="11.25">
      <c r="A67" s="79"/>
      <c r="B67" s="79"/>
      <c r="C67" s="80" t="s">
        <v>128</v>
      </c>
      <c r="D67" s="68">
        <v>120278</v>
      </c>
      <c r="E67" s="69">
        <v>127604</v>
      </c>
      <c r="F67" s="69">
        <v>132957</v>
      </c>
      <c r="G67" s="69">
        <v>125289</v>
      </c>
      <c r="H67" s="69">
        <v>117370</v>
      </c>
      <c r="I67" s="69">
        <v>121133</v>
      </c>
      <c r="J67" s="69">
        <v>122571</v>
      </c>
      <c r="K67" s="69">
        <v>124894</v>
      </c>
      <c r="L67" s="69">
        <v>125816</v>
      </c>
      <c r="M67" s="69">
        <v>128190</v>
      </c>
      <c r="N67" s="81">
        <v>1246102</v>
      </c>
    </row>
    <row r="68" spans="1:14" ht="11.25">
      <c r="A68" s="79"/>
      <c r="B68" s="79"/>
      <c r="C68" s="80" t="s">
        <v>129</v>
      </c>
      <c r="D68" s="68"/>
      <c r="E68" s="69"/>
      <c r="F68" s="69">
        <v>5426</v>
      </c>
      <c r="G68" s="69">
        <v>5480</v>
      </c>
      <c r="H68" s="69">
        <v>5200</v>
      </c>
      <c r="I68" s="69">
        <v>4974</v>
      </c>
      <c r="J68" s="69">
        <v>4276</v>
      </c>
      <c r="K68" s="69">
        <v>4229</v>
      </c>
      <c r="L68" s="69">
        <v>4160</v>
      </c>
      <c r="M68" s="69"/>
      <c r="N68" s="81">
        <v>33745</v>
      </c>
    </row>
    <row r="69" spans="1:14" ht="11.25">
      <c r="A69" s="79"/>
      <c r="B69" s="79"/>
      <c r="C69" s="80" t="s">
        <v>130</v>
      </c>
      <c r="D69" s="68">
        <v>24238</v>
      </c>
      <c r="E69" s="69">
        <v>24715</v>
      </c>
      <c r="F69" s="69">
        <v>25574</v>
      </c>
      <c r="G69" s="69">
        <v>25169</v>
      </c>
      <c r="H69" s="69">
        <v>24745</v>
      </c>
      <c r="I69" s="69">
        <v>24974</v>
      </c>
      <c r="J69" s="69">
        <v>25024</v>
      </c>
      <c r="K69" s="69">
        <v>27105</v>
      </c>
      <c r="L69" s="69">
        <v>27105</v>
      </c>
      <c r="M69" s="69">
        <v>27061</v>
      </c>
      <c r="N69" s="81">
        <v>255710</v>
      </c>
    </row>
    <row r="70" spans="1:14" ht="11.25">
      <c r="A70" s="79"/>
      <c r="B70" s="79"/>
      <c r="C70" s="80" t="s">
        <v>131</v>
      </c>
      <c r="D70" s="68">
        <v>318414</v>
      </c>
      <c r="E70" s="69">
        <v>318071</v>
      </c>
      <c r="F70" s="69">
        <v>320628</v>
      </c>
      <c r="G70" s="69">
        <v>321456</v>
      </c>
      <c r="H70" s="69">
        <v>324291</v>
      </c>
      <c r="I70" s="69">
        <v>307774</v>
      </c>
      <c r="J70" s="69">
        <v>341051</v>
      </c>
      <c r="K70" s="69">
        <v>346411</v>
      </c>
      <c r="L70" s="69">
        <v>348415</v>
      </c>
      <c r="M70" s="69">
        <v>362527</v>
      </c>
      <c r="N70" s="81">
        <v>3309038</v>
      </c>
    </row>
    <row r="71" spans="1:14" ht="11.25">
      <c r="A71" s="79"/>
      <c r="B71" s="79"/>
      <c r="C71" s="80" t="s">
        <v>132</v>
      </c>
      <c r="D71" s="68">
        <v>375600</v>
      </c>
      <c r="E71" s="69">
        <v>376440</v>
      </c>
      <c r="F71" s="69">
        <v>367331</v>
      </c>
      <c r="G71" s="69">
        <v>367142</v>
      </c>
      <c r="H71" s="69">
        <v>360306</v>
      </c>
      <c r="I71" s="69"/>
      <c r="J71" s="69"/>
      <c r="K71" s="69"/>
      <c r="L71" s="69"/>
      <c r="M71" s="69"/>
      <c r="N71" s="81">
        <v>1846819</v>
      </c>
    </row>
    <row r="72" spans="1:14" ht="11.25">
      <c r="A72" s="79"/>
      <c r="B72" s="79"/>
      <c r="C72" s="80" t="s">
        <v>133</v>
      </c>
      <c r="D72" s="68"/>
      <c r="E72" s="69"/>
      <c r="F72" s="69"/>
      <c r="G72" s="69"/>
      <c r="H72" s="69"/>
      <c r="I72" s="69">
        <v>2664</v>
      </c>
      <c r="J72" s="69">
        <v>2653</v>
      </c>
      <c r="K72" s="69">
        <v>3015</v>
      </c>
      <c r="L72" s="69">
        <v>3131</v>
      </c>
      <c r="M72" s="69"/>
      <c r="N72" s="81">
        <v>11463</v>
      </c>
    </row>
    <row r="73" spans="1:14" ht="11.25">
      <c r="A73" s="79"/>
      <c r="B73" s="79"/>
      <c r="C73" s="80" t="s">
        <v>134</v>
      </c>
      <c r="D73" s="68"/>
      <c r="E73" s="69">
        <v>13922</v>
      </c>
      <c r="F73" s="69">
        <v>13273</v>
      </c>
      <c r="G73" s="69">
        <v>14192</v>
      </c>
      <c r="H73" s="69">
        <v>15285</v>
      </c>
      <c r="I73" s="69">
        <v>16380</v>
      </c>
      <c r="J73" s="69">
        <v>17474</v>
      </c>
      <c r="K73" s="69">
        <v>16732</v>
      </c>
      <c r="L73" s="69">
        <v>15262</v>
      </c>
      <c r="M73" s="69"/>
      <c r="N73" s="81">
        <v>122520</v>
      </c>
    </row>
    <row r="74" spans="1:14" ht="11.25">
      <c r="A74" s="79"/>
      <c r="B74" s="79"/>
      <c r="C74" s="80" t="s">
        <v>135</v>
      </c>
      <c r="D74" s="68"/>
      <c r="E74" s="69"/>
      <c r="F74" s="69">
        <v>14028</v>
      </c>
      <c r="G74" s="69">
        <v>14808</v>
      </c>
      <c r="H74" s="69">
        <v>14583</v>
      </c>
      <c r="I74" s="69">
        <v>15641</v>
      </c>
      <c r="J74" s="69">
        <v>17448</v>
      </c>
      <c r="K74" s="69">
        <v>17765</v>
      </c>
      <c r="L74" s="69">
        <v>17177</v>
      </c>
      <c r="M74" s="69">
        <v>16522</v>
      </c>
      <c r="N74" s="81">
        <v>127972</v>
      </c>
    </row>
    <row r="75" spans="1:14" ht="11.25">
      <c r="A75" s="79"/>
      <c r="B75" s="79"/>
      <c r="C75" s="80" t="s">
        <v>136</v>
      </c>
      <c r="D75" s="68">
        <v>68771</v>
      </c>
      <c r="E75" s="69">
        <v>70121</v>
      </c>
      <c r="F75" s="69">
        <v>72278</v>
      </c>
      <c r="G75" s="69">
        <v>71746</v>
      </c>
      <c r="H75" s="69">
        <v>71061</v>
      </c>
      <c r="I75" s="69">
        <v>74175</v>
      </c>
      <c r="J75" s="69">
        <v>77207</v>
      </c>
      <c r="K75" s="69">
        <v>69866</v>
      </c>
      <c r="L75" s="69">
        <v>70467</v>
      </c>
      <c r="M75" s="69">
        <v>71324</v>
      </c>
      <c r="N75" s="81">
        <v>717016</v>
      </c>
    </row>
    <row r="76" spans="1:14" ht="11.25">
      <c r="A76" s="79"/>
      <c r="B76" s="79"/>
      <c r="C76" s="80" t="s">
        <v>137</v>
      </c>
      <c r="D76" s="68">
        <v>9868</v>
      </c>
      <c r="E76" s="69"/>
      <c r="F76" s="69">
        <v>9717</v>
      </c>
      <c r="G76" s="69">
        <v>9735</v>
      </c>
      <c r="H76" s="69">
        <v>9585</v>
      </c>
      <c r="I76" s="69">
        <v>9966</v>
      </c>
      <c r="J76" s="69">
        <v>11053</v>
      </c>
      <c r="K76" s="69">
        <v>11128</v>
      </c>
      <c r="L76" s="69">
        <v>11291</v>
      </c>
      <c r="M76" s="69">
        <v>11132</v>
      </c>
      <c r="N76" s="81">
        <v>93475</v>
      </c>
    </row>
    <row r="77" spans="1:14" ht="11.25">
      <c r="A77" s="79"/>
      <c r="B77" s="79"/>
      <c r="C77" s="80" t="s">
        <v>138</v>
      </c>
      <c r="D77" s="68"/>
      <c r="E77" s="69"/>
      <c r="F77" s="69"/>
      <c r="G77" s="69"/>
      <c r="H77" s="69"/>
      <c r="I77" s="69">
        <v>1631</v>
      </c>
      <c r="J77" s="69">
        <v>1810</v>
      </c>
      <c r="K77" s="69">
        <v>1960</v>
      </c>
      <c r="L77" s="69">
        <v>2139</v>
      </c>
      <c r="M77" s="69">
        <v>3227</v>
      </c>
      <c r="N77" s="81">
        <v>10767</v>
      </c>
    </row>
    <row r="78" spans="1:14" ht="11.25">
      <c r="A78" s="79"/>
      <c r="B78" s="79"/>
      <c r="C78" s="80" t="s">
        <v>139</v>
      </c>
      <c r="D78" s="68">
        <v>235647</v>
      </c>
      <c r="E78" s="69">
        <v>237097</v>
      </c>
      <c r="F78" s="69">
        <v>242100</v>
      </c>
      <c r="G78" s="69">
        <v>241383</v>
      </c>
      <c r="H78" s="69">
        <v>247587</v>
      </c>
      <c r="I78" s="69">
        <v>256165</v>
      </c>
      <c r="J78" s="69">
        <v>257345</v>
      </c>
      <c r="K78" s="69">
        <v>256011</v>
      </c>
      <c r="L78" s="69">
        <v>253858</v>
      </c>
      <c r="M78" s="69">
        <v>249287</v>
      </c>
      <c r="N78" s="81">
        <v>2476480</v>
      </c>
    </row>
    <row r="79" spans="1:14" ht="11.25">
      <c r="A79" s="79"/>
      <c r="B79" s="79"/>
      <c r="C79" s="80" t="s">
        <v>140</v>
      </c>
      <c r="D79" s="68"/>
      <c r="E79" s="69"/>
      <c r="F79" s="69"/>
      <c r="G79" s="69">
        <v>45528</v>
      </c>
      <c r="H79" s="69"/>
      <c r="I79" s="69">
        <v>48211</v>
      </c>
      <c r="J79" s="69">
        <v>45162</v>
      </c>
      <c r="K79" s="69">
        <v>43552</v>
      </c>
      <c r="L79" s="69">
        <v>41818</v>
      </c>
      <c r="M79" s="69"/>
      <c r="N79" s="81">
        <v>224271</v>
      </c>
    </row>
    <row r="80" spans="1:14" ht="11.25">
      <c r="A80" s="79"/>
      <c r="B80" s="79"/>
      <c r="C80" s="80" t="s">
        <v>141</v>
      </c>
      <c r="D80" s="68"/>
      <c r="E80" s="69"/>
      <c r="F80" s="69"/>
      <c r="G80" s="69"/>
      <c r="H80" s="69"/>
      <c r="I80" s="69">
        <v>845</v>
      </c>
      <c r="J80" s="69">
        <v>853</v>
      </c>
      <c r="K80" s="69">
        <v>801</v>
      </c>
      <c r="L80" s="69"/>
      <c r="M80" s="69"/>
      <c r="N80" s="81">
        <v>2499</v>
      </c>
    </row>
    <row r="81" spans="1:14" ht="11.25">
      <c r="A81" s="79"/>
      <c r="B81" s="79"/>
      <c r="C81" s="80" t="s">
        <v>142</v>
      </c>
      <c r="D81" s="68"/>
      <c r="E81" s="69">
        <v>11368</v>
      </c>
      <c r="F81" s="69">
        <v>12355</v>
      </c>
      <c r="G81" s="69">
        <v>11948</v>
      </c>
      <c r="H81" s="69">
        <v>11142</v>
      </c>
      <c r="I81" s="69">
        <v>10302</v>
      </c>
      <c r="J81" s="69">
        <v>9499</v>
      </c>
      <c r="K81" s="69">
        <v>8603</v>
      </c>
      <c r="L81" s="69">
        <v>8226</v>
      </c>
      <c r="M81" s="69">
        <v>7730</v>
      </c>
      <c r="N81" s="81">
        <v>91173</v>
      </c>
    </row>
    <row r="82" spans="1:14" ht="11.25">
      <c r="A82" s="79"/>
      <c r="B82" s="79"/>
      <c r="C82" s="80" t="s">
        <v>143</v>
      </c>
      <c r="D82" s="68">
        <v>3363</v>
      </c>
      <c r="E82" s="69">
        <v>3732</v>
      </c>
      <c r="F82" s="69">
        <v>4833</v>
      </c>
      <c r="G82" s="69">
        <v>5525</v>
      </c>
      <c r="H82" s="69">
        <v>5735</v>
      </c>
      <c r="I82" s="69">
        <v>5843</v>
      </c>
      <c r="J82" s="69">
        <v>5928</v>
      </c>
      <c r="K82" s="69">
        <v>6091</v>
      </c>
      <c r="L82" s="69">
        <v>6219</v>
      </c>
      <c r="M82" s="69"/>
      <c r="N82" s="81">
        <v>47269</v>
      </c>
    </row>
    <row r="83" spans="1:14" ht="11.25">
      <c r="A83" s="79"/>
      <c r="B83" s="79"/>
      <c r="C83" s="80" t="s">
        <v>144</v>
      </c>
      <c r="D83" s="68">
        <v>14920</v>
      </c>
      <c r="E83" s="69"/>
      <c r="F83" s="69">
        <v>14434</v>
      </c>
      <c r="G83" s="69">
        <v>14098</v>
      </c>
      <c r="H83" s="69">
        <v>13710</v>
      </c>
      <c r="I83" s="69">
        <v>11932</v>
      </c>
      <c r="J83" s="69">
        <v>11579</v>
      </c>
      <c r="K83" s="69">
        <v>11844</v>
      </c>
      <c r="L83" s="69">
        <v>10795</v>
      </c>
      <c r="M83" s="69">
        <v>9884</v>
      </c>
      <c r="N83" s="81">
        <v>113196</v>
      </c>
    </row>
    <row r="84" spans="1:14" ht="11.25">
      <c r="A84" s="79"/>
      <c r="B84" s="79"/>
      <c r="C84" s="80" t="s">
        <v>145</v>
      </c>
      <c r="D84" s="68"/>
      <c r="E84" s="69"/>
      <c r="F84" s="69">
        <v>6102</v>
      </c>
      <c r="G84" s="69">
        <v>5751</v>
      </c>
      <c r="H84" s="69">
        <v>5593</v>
      </c>
      <c r="I84" s="69">
        <v>5431</v>
      </c>
      <c r="J84" s="69">
        <v>5006</v>
      </c>
      <c r="K84" s="69">
        <v>3812</v>
      </c>
      <c r="L84" s="69">
        <v>3673</v>
      </c>
      <c r="M84" s="69">
        <v>2926</v>
      </c>
      <c r="N84" s="81">
        <v>38294</v>
      </c>
    </row>
    <row r="85" spans="1:14" ht="11.25">
      <c r="A85" s="79"/>
      <c r="B85" s="79"/>
      <c r="C85" s="80" t="s">
        <v>146</v>
      </c>
      <c r="D85" s="68"/>
      <c r="E85" s="69"/>
      <c r="F85" s="69">
        <v>2624</v>
      </c>
      <c r="G85" s="69">
        <v>2267</v>
      </c>
      <c r="H85" s="69">
        <v>2342</v>
      </c>
      <c r="I85" s="69">
        <v>2375</v>
      </c>
      <c r="J85" s="69">
        <v>2490</v>
      </c>
      <c r="K85" s="69">
        <v>2129</v>
      </c>
      <c r="L85" s="69">
        <v>1902</v>
      </c>
      <c r="M85" s="69">
        <v>2038</v>
      </c>
      <c r="N85" s="81">
        <v>18167</v>
      </c>
    </row>
    <row r="86" spans="1:14" ht="11.25">
      <c r="A86" s="79"/>
      <c r="B86" s="79"/>
      <c r="C86" s="80" t="s">
        <v>147</v>
      </c>
      <c r="D86" s="68">
        <v>105742</v>
      </c>
      <c r="E86" s="69">
        <v>106374</v>
      </c>
      <c r="F86" s="69">
        <v>107442</v>
      </c>
      <c r="G86" s="69">
        <v>111845</v>
      </c>
      <c r="H86" s="69">
        <v>108089</v>
      </c>
      <c r="I86" s="69"/>
      <c r="J86" s="69"/>
      <c r="K86" s="69">
        <v>112700</v>
      </c>
      <c r="L86" s="69">
        <v>117300</v>
      </c>
      <c r="M86" s="69"/>
      <c r="N86" s="81">
        <v>769492</v>
      </c>
    </row>
    <row r="87" spans="1:14" ht="11.25">
      <c r="A87" s="79"/>
      <c r="B87" s="79"/>
      <c r="C87" s="80" t="s">
        <v>148</v>
      </c>
      <c r="D87" s="68">
        <v>25296</v>
      </c>
      <c r="E87" s="69">
        <v>23591</v>
      </c>
      <c r="F87" s="69">
        <v>24318</v>
      </c>
      <c r="G87" s="69">
        <v>25268</v>
      </c>
      <c r="H87" s="69">
        <v>27663</v>
      </c>
      <c r="I87" s="69">
        <v>27178</v>
      </c>
      <c r="J87" s="69">
        <v>27454</v>
      </c>
      <c r="K87" s="69">
        <v>27317</v>
      </c>
      <c r="L87" s="69">
        <v>27604</v>
      </c>
      <c r="M87" s="69">
        <v>27609</v>
      </c>
      <c r="N87" s="81">
        <v>263298</v>
      </c>
    </row>
    <row r="88" spans="1:14" ht="11.25">
      <c r="A88" s="79"/>
      <c r="B88" s="79"/>
      <c r="C88" s="80" t="s">
        <v>149</v>
      </c>
      <c r="D88" s="68">
        <v>234547</v>
      </c>
      <c r="E88" s="69"/>
      <c r="F88" s="69">
        <v>185711</v>
      </c>
      <c r="G88" s="69">
        <v>181756</v>
      </c>
      <c r="H88" s="69">
        <v>184615</v>
      </c>
      <c r="I88" s="69">
        <v>173639</v>
      </c>
      <c r="J88" s="69">
        <v>169637</v>
      </c>
      <c r="K88" s="69">
        <v>169463</v>
      </c>
      <c r="L88" s="69">
        <v>171833</v>
      </c>
      <c r="M88" s="69">
        <v>175696</v>
      </c>
      <c r="N88" s="81">
        <v>1646897</v>
      </c>
    </row>
    <row r="89" spans="1:14" ht="11.25">
      <c r="A89" s="79"/>
      <c r="B89" s="79"/>
      <c r="C89" s="80" t="s">
        <v>150</v>
      </c>
      <c r="D89" s="68">
        <v>27400</v>
      </c>
      <c r="E89" s="69">
        <v>29310</v>
      </c>
      <c r="F89" s="69">
        <v>29583</v>
      </c>
      <c r="G89" s="69">
        <v>29524</v>
      </c>
      <c r="H89" s="69">
        <v>27855</v>
      </c>
      <c r="I89" s="69">
        <v>29495</v>
      </c>
      <c r="J89" s="69">
        <v>31788</v>
      </c>
      <c r="K89" s="69">
        <v>31390</v>
      </c>
      <c r="L89" s="69"/>
      <c r="M89" s="69">
        <v>31603</v>
      </c>
      <c r="N89" s="81">
        <v>267948</v>
      </c>
    </row>
    <row r="90" spans="1:14" ht="11.25">
      <c r="A90" s="79"/>
      <c r="B90" s="79"/>
      <c r="C90" s="80" t="s">
        <v>151</v>
      </c>
      <c r="D90" s="68">
        <v>86764</v>
      </c>
      <c r="E90" s="69"/>
      <c r="F90" s="69">
        <v>78110</v>
      </c>
      <c r="G90" s="69">
        <v>77584</v>
      </c>
      <c r="H90" s="69">
        <v>77011</v>
      </c>
      <c r="I90" s="69">
        <v>81097</v>
      </c>
      <c r="J90" s="69">
        <v>85767</v>
      </c>
      <c r="K90" s="69">
        <v>81159</v>
      </c>
      <c r="L90" s="69">
        <v>75941</v>
      </c>
      <c r="M90" s="69">
        <v>70042</v>
      </c>
      <c r="N90" s="81">
        <v>713475</v>
      </c>
    </row>
    <row r="91" spans="1:14" ht="11.25">
      <c r="A91" s="79"/>
      <c r="B91" s="79"/>
      <c r="C91" s="80" t="s">
        <v>152</v>
      </c>
      <c r="D91" s="68"/>
      <c r="E91" s="69"/>
      <c r="F91" s="69"/>
      <c r="G91" s="69">
        <v>670525</v>
      </c>
      <c r="H91" s="69">
        <v>644347</v>
      </c>
      <c r="I91" s="69">
        <v>619659</v>
      </c>
      <c r="J91" s="69">
        <v>574686</v>
      </c>
      <c r="K91" s="69">
        <v>520742</v>
      </c>
      <c r="L91" s="69">
        <v>500135</v>
      </c>
      <c r="M91" s="69">
        <v>498199</v>
      </c>
      <c r="N91" s="81">
        <v>4028293</v>
      </c>
    </row>
    <row r="92" spans="1:14" ht="11.25">
      <c r="A92" s="79"/>
      <c r="B92" s="79"/>
      <c r="C92" s="80" t="s">
        <v>153</v>
      </c>
      <c r="D92" s="68"/>
      <c r="E92" s="69"/>
      <c r="F92" s="69">
        <v>40378</v>
      </c>
      <c r="G92" s="69">
        <v>38608</v>
      </c>
      <c r="H92" s="69">
        <v>40018</v>
      </c>
      <c r="I92" s="69">
        <v>39174</v>
      </c>
      <c r="J92" s="69">
        <v>37287</v>
      </c>
      <c r="K92" s="69">
        <v>38434</v>
      </c>
      <c r="L92" s="69">
        <v>37107</v>
      </c>
      <c r="M92" s="69">
        <v>36606</v>
      </c>
      <c r="N92" s="81">
        <v>307612</v>
      </c>
    </row>
    <row r="93" spans="1:14" ht="11.25">
      <c r="A93" s="79"/>
      <c r="B93" s="79"/>
      <c r="C93" s="80" t="s">
        <v>154</v>
      </c>
      <c r="D93" s="68">
        <v>12258</v>
      </c>
      <c r="E93" s="69">
        <v>10878</v>
      </c>
      <c r="F93" s="69">
        <v>10022</v>
      </c>
      <c r="G93" s="69">
        <v>10470</v>
      </c>
      <c r="H93" s="69">
        <v>11535</v>
      </c>
      <c r="I93" s="69">
        <v>11480</v>
      </c>
      <c r="J93" s="69">
        <v>11403</v>
      </c>
      <c r="K93" s="69">
        <v>11047</v>
      </c>
      <c r="L93" s="69">
        <v>10598</v>
      </c>
      <c r="M93" s="69">
        <v>10511</v>
      </c>
      <c r="N93" s="81">
        <v>110202</v>
      </c>
    </row>
    <row r="94" spans="1:14" ht="11.25">
      <c r="A94" s="79"/>
      <c r="B94" s="79"/>
      <c r="C94" s="80" t="s">
        <v>155</v>
      </c>
      <c r="D94" s="68">
        <v>58751</v>
      </c>
      <c r="E94" s="69">
        <v>57530</v>
      </c>
      <c r="F94" s="69">
        <v>59236</v>
      </c>
      <c r="G94" s="69">
        <v>58451</v>
      </c>
      <c r="H94" s="69">
        <v>59756</v>
      </c>
      <c r="I94" s="69">
        <v>61259</v>
      </c>
      <c r="J94" s="69">
        <v>65730</v>
      </c>
      <c r="K94" s="69">
        <v>65812</v>
      </c>
      <c r="L94" s="69">
        <v>65641</v>
      </c>
      <c r="M94" s="69">
        <v>67092</v>
      </c>
      <c r="N94" s="81">
        <v>619258</v>
      </c>
    </row>
    <row r="95" spans="1:14" ht="11.25">
      <c r="A95" s="79"/>
      <c r="B95" s="79"/>
      <c r="C95" s="80" t="s">
        <v>156</v>
      </c>
      <c r="D95" s="68"/>
      <c r="E95" s="69"/>
      <c r="F95" s="69"/>
      <c r="G95" s="69"/>
      <c r="H95" s="69">
        <v>869</v>
      </c>
      <c r="I95" s="69">
        <v>711</v>
      </c>
      <c r="J95" s="69">
        <v>707</v>
      </c>
      <c r="K95" s="69">
        <v>659</v>
      </c>
      <c r="L95" s="69">
        <v>647</v>
      </c>
      <c r="M95" s="69">
        <v>344</v>
      </c>
      <c r="N95" s="81">
        <v>3937</v>
      </c>
    </row>
    <row r="96" spans="1:14" ht="11.25">
      <c r="A96" s="79"/>
      <c r="B96" s="79"/>
      <c r="C96" s="80" t="s">
        <v>157</v>
      </c>
      <c r="D96" s="68"/>
      <c r="E96" s="69"/>
      <c r="F96" s="69"/>
      <c r="G96" s="69"/>
      <c r="H96" s="69">
        <v>5028</v>
      </c>
      <c r="I96" s="69">
        <v>5287</v>
      </c>
      <c r="J96" s="69">
        <v>5278</v>
      </c>
      <c r="K96" s="69">
        <v>4652</v>
      </c>
      <c r="L96" s="69">
        <v>4282</v>
      </c>
      <c r="M96" s="69"/>
      <c r="N96" s="81">
        <v>24527</v>
      </c>
    </row>
    <row r="97" spans="1:14" ht="11.25">
      <c r="A97" s="79"/>
      <c r="B97" s="79"/>
      <c r="C97" s="80" t="s">
        <v>158</v>
      </c>
      <c r="D97" s="68">
        <v>26300</v>
      </c>
      <c r="E97" s="69"/>
      <c r="F97" s="69">
        <v>25227</v>
      </c>
      <c r="G97" s="69">
        <v>25349</v>
      </c>
      <c r="H97" s="69">
        <v>25995</v>
      </c>
      <c r="I97" s="69">
        <v>25110</v>
      </c>
      <c r="J97" s="69">
        <v>26085</v>
      </c>
      <c r="K97" s="69">
        <v>26727</v>
      </c>
      <c r="L97" s="69">
        <v>26721</v>
      </c>
      <c r="M97" s="69"/>
      <c r="N97" s="81">
        <v>207514</v>
      </c>
    </row>
    <row r="98" spans="1:14" ht="11.25">
      <c r="A98" s="79"/>
      <c r="B98" s="79"/>
      <c r="C98" s="80" t="s">
        <v>159</v>
      </c>
      <c r="D98" s="68">
        <v>132800</v>
      </c>
      <c r="E98" s="69"/>
      <c r="F98" s="69"/>
      <c r="G98" s="69">
        <v>129039</v>
      </c>
      <c r="H98" s="69">
        <v>129153</v>
      </c>
      <c r="I98" s="69">
        <v>167204</v>
      </c>
      <c r="J98" s="69">
        <v>150512</v>
      </c>
      <c r="K98" s="69">
        <v>145520</v>
      </c>
      <c r="L98" s="69">
        <v>143535</v>
      </c>
      <c r="M98" s="69">
        <v>141131</v>
      </c>
      <c r="N98" s="81">
        <v>1138894</v>
      </c>
    </row>
    <row r="99" spans="1:14" ht="11.25">
      <c r="A99" s="79"/>
      <c r="B99" s="79"/>
      <c r="C99" s="80" t="s">
        <v>160</v>
      </c>
      <c r="D99" s="68">
        <v>9656000</v>
      </c>
      <c r="E99" s="69"/>
      <c r="F99" s="69"/>
      <c r="G99" s="69"/>
      <c r="H99" s="69">
        <v>9495000</v>
      </c>
      <c r="I99" s="69">
        <v>50811</v>
      </c>
      <c r="J99" s="69">
        <v>49142</v>
      </c>
      <c r="K99" s="69">
        <v>51488</v>
      </c>
      <c r="L99" s="69">
        <v>52977</v>
      </c>
      <c r="M99" s="69">
        <v>54834</v>
      </c>
      <c r="N99" s="81">
        <v>19410252</v>
      </c>
    </row>
    <row r="100" spans="1:14" ht="11.25">
      <c r="A100" s="79"/>
      <c r="B100" s="79"/>
      <c r="C100" s="80" t="s">
        <v>161</v>
      </c>
      <c r="D100" s="68"/>
      <c r="E100" s="69"/>
      <c r="F100" s="69"/>
      <c r="G100" s="69"/>
      <c r="H100" s="69"/>
      <c r="I100" s="69">
        <v>10720</v>
      </c>
      <c r="J100" s="69">
        <v>12472</v>
      </c>
      <c r="K100" s="69">
        <v>11417</v>
      </c>
      <c r="L100" s="69">
        <v>8493</v>
      </c>
      <c r="M100" s="69"/>
      <c r="N100" s="81">
        <v>43102</v>
      </c>
    </row>
    <row r="101" spans="1:14" ht="11.25">
      <c r="A101" s="79"/>
      <c r="B101" s="79"/>
      <c r="C101" s="80" t="s">
        <v>162</v>
      </c>
      <c r="D101" s="68"/>
      <c r="E101" s="69"/>
      <c r="F101" s="69"/>
      <c r="G101" s="69"/>
      <c r="H101" s="69"/>
      <c r="I101" s="69"/>
      <c r="J101" s="69"/>
      <c r="K101" s="69"/>
      <c r="L101" s="69">
        <v>23498</v>
      </c>
      <c r="M101" s="69">
        <v>16682</v>
      </c>
      <c r="N101" s="81">
        <v>40180</v>
      </c>
    </row>
    <row r="102" spans="1:14" ht="11.25">
      <c r="A102" s="79"/>
      <c r="B102" s="73" t="s">
        <v>163</v>
      </c>
      <c r="C102" s="71"/>
      <c r="D102" s="76">
        <v>11858264</v>
      </c>
      <c r="E102" s="77">
        <v>1683661</v>
      </c>
      <c r="F102" s="77">
        <v>2175415</v>
      </c>
      <c r="G102" s="77">
        <v>3781072</v>
      </c>
      <c r="H102" s="77">
        <v>13217838</v>
      </c>
      <c r="I102" s="77">
        <v>3385518</v>
      </c>
      <c r="J102" s="77">
        <v>3366074</v>
      </c>
      <c r="K102" s="77">
        <v>3398225</v>
      </c>
      <c r="L102" s="77">
        <v>3303495</v>
      </c>
      <c r="M102" s="77">
        <v>2976663</v>
      </c>
      <c r="N102" s="78">
        <v>49146225</v>
      </c>
    </row>
    <row r="103" spans="1:14" ht="11.25">
      <c r="A103" s="73" t="s">
        <v>166</v>
      </c>
      <c r="B103" s="71"/>
      <c r="C103" s="71"/>
      <c r="D103" s="76">
        <v>11858264</v>
      </c>
      <c r="E103" s="77">
        <v>1683661</v>
      </c>
      <c r="F103" s="77">
        <v>2175415</v>
      </c>
      <c r="G103" s="77">
        <v>3781072</v>
      </c>
      <c r="H103" s="77">
        <v>13217838</v>
      </c>
      <c r="I103" s="77">
        <v>3385518</v>
      </c>
      <c r="J103" s="77">
        <v>3366074</v>
      </c>
      <c r="K103" s="77">
        <v>3398225</v>
      </c>
      <c r="L103" s="77">
        <v>3303495</v>
      </c>
      <c r="M103" s="77">
        <v>2976663</v>
      </c>
      <c r="N103" s="78">
        <v>49146225</v>
      </c>
    </row>
    <row r="104" spans="1:14" ht="11.25">
      <c r="A104" s="73" t="s">
        <v>167</v>
      </c>
      <c r="B104" s="73" t="s">
        <v>114</v>
      </c>
      <c r="C104" s="73" t="s">
        <v>116</v>
      </c>
      <c r="D104" s="76"/>
      <c r="E104" s="77"/>
      <c r="F104" s="77"/>
      <c r="G104" s="77"/>
      <c r="H104" s="77"/>
      <c r="I104" s="77">
        <v>781</v>
      </c>
      <c r="J104" s="77">
        <v>574</v>
      </c>
      <c r="K104" s="77">
        <v>677</v>
      </c>
      <c r="L104" s="77"/>
      <c r="M104" s="77"/>
      <c r="N104" s="78">
        <v>2032</v>
      </c>
    </row>
    <row r="105" spans="1:14" ht="11.25">
      <c r="A105" s="79"/>
      <c r="B105" s="79"/>
      <c r="C105" s="80" t="s">
        <v>117</v>
      </c>
      <c r="D105" s="68">
        <v>39758</v>
      </c>
      <c r="E105" s="69"/>
      <c r="F105" s="69">
        <v>42258</v>
      </c>
      <c r="G105" s="69">
        <v>41668</v>
      </c>
      <c r="H105" s="69">
        <v>42291</v>
      </c>
      <c r="I105" s="69">
        <v>42404</v>
      </c>
      <c r="J105" s="69">
        <v>38317</v>
      </c>
      <c r="K105" s="69">
        <v>39957</v>
      </c>
      <c r="L105" s="69">
        <v>47225</v>
      </c>
      <c r="M105" s="69"/>
      <c r="N105" s="81">
        <v>333878</v>
      </c>
    </row>
    <row r="106" spans="1:14" ht="11.25">
      <c r="A106" s="79"/>
      <c r="B106" s="79"/>
      <c r="C106" s="80" t="s">
        <v>118</v>
      </c>
      <c r="D106" s="68"/>
      <c r="E106" s="69"/>
      <c r="F106" s="69"/>
      <c r="G106" s="69"/>
      <c r="H106" s="69"/>
      <c r="I106" s="69">
        <v>3162</v>
      </c>
      <c r="J106" s="69">
        <v>3921</v>
      </c>
      <c r="K106" s="69">
        <v>3905</v>
      </c>
      <c r="L106" s="69">
        <v>4627</v>
      </c>
      <c r="M106" s="69"/>
      <c r="N106" s="81">
        <v>15615</v>
      </c>
    </row>
    <row r="107" spans="1:14" ht="11.25">
      <c r="A107" s="79"/>
      <c r="B107" s="79"/>
      <c r="C107" s="80" t="s">
        <v>119</v>
      </c>
      <c r="D107" s="68">
        <v>21415</v>
      </c>
      <c r="E107" s="69">
        <v>20620</v>
      </c>
      <c r="F107" s="69">
        <v>20551</v>
      </c>
      <c r="G107" s="69">
        <v>18645</v>
      </c>
      <c r="H107" s="69">
        <v>18141</v>
      </c>
      <c r="I107" s="69">
        <v>17270</v>
      </c>
      <c r="J107" s="69">
        <v>17517</v>
      </c>
      <c r="K107" s="69">
        <v>17942</v>
      </c>
      <c r="L107" s="69">
        <v>18431</v>
      </c>
      <c r="M107" s="69">
        <v>17976</v>
      </c>
      <c r="N107" s="81">
        <v>188508</v>
      </c>
    </row>
    <row r="108" spans="1:14" ht="11.25">
      <c r="A108" s="79"/>
      <c r="B108" s="79"/>
      <c r="C108" s="80" t="s">
        <v>120</v>
      </c>
      <c r="D108" s="68">
        <v>23530</v>
      </c>
      <c r="E108" s="69">
        <v>13900</v>
      </c>
      <c r="F108" s="69">
        <v>12610</v>
      </c>
      <c r="G108" s="69">
        <v>13863</v>
      </c>
      <c r="H108" s="69">
        <v>15122</v>
      </c>
      <c r="I108" s="69">
        <v>16542</v>
      </c>
      <c r="J108" s="69">
        <v>14831</v>
      </c>
      <c r="K108" s="69">
        <v>14661</v>
      </c>
      <c r="L108" s="69">
        <v>10940</v>
      </c>
      <c r="M108" s="69"/>
      <c r="N108" s="81">
        <v>135999</v>
      </c>
    </row>
    <row r="109" spans="1:14" ht="11.25">
      <c r="A109" s="79"/>
      <c r="B109" s="79"/>
      <c r="C109" s="80" t="s">
        <v>121</v>
      </c>
      <c r="D109" s="68"/>
      <c r="E109" s="69"/>
      <c r="F109" s="69"/>
      <c r="G109" s="69"/>
      <c r="H109" s="69"/>
      <c r="I109" s="69"/>
      <c r="J109" s="69"/>
      <c r="K109" s="69">
        <v>1574</v>
      </c>
      <c r="L109" s="69">
        <v>2428</v>
      </c>
      <c r="M109" s="69"/>
      <c r="N109" s="81">
        <v>4002</v>
      </c>
    </row>
    <row r="110" spans="1:14" ht="11.25">
      <c r="A110" s="79"/>
      <c r="B110" s="79"/>
      <c r="C110" s="80" t="s">
        <v>122</v>
      </c>
      <c r="D110" s="68"/>
      <c r="E110" s="69"/>
      <c r="F110" s="69"/>
      <c r="G110" s="69">
        <v>26441</v>
      </c>
      <c r="H110" s="69">
        <v>18461</v>
      </c>
      <c r="I110" s="69">
        <v>16151</v>
      </c>
      <c r="J110" s="69">
        <v>16587</v>
      </c>
      <c r="K110" s="69">
        <v>19068</v>
      </c>
      <c r="L110" s="69">
        <v>18626</v>
      </c>
      <c r="M110" s="69"/>
      <c r="N110" s="81">
        <v>115334</v>
      </c>
    </row>
    <row r="111" spans="1:14" ht="11.25">
      <c r="A111" s="79"/>
      <c r="B111" s="79"/>
      <c r="C111" s="80" t="s">
        <v>123</v>
      </c>
      <c r="D111" s="68"/>
      <c r="E111" s="69"/>
      <c r="F111" s="69"/>
      <c r="G111" s="69">
        <v>112843</v>
      </c>
      <c r="H111" s="69">
        <v>123178</v>
      </c>
      <c r="I111" s="69">
        <v>119148</v>
      </c>
      <c r="J111" s="69">
        <v>113273</v>
      </c>
      <c r="K111" s="69">
        <v>118847</v>
      </c>
      <c r="L111" s="69">
        <v>117150</v>
      </c>
      <c r="M111" s="69"/>
      <c r="N111" s="81">
        <v>704439</v>
      </c>
    </row>
    <row r="112" spans="1:14" ht="11.25">
      <c r="A112" s="79"/>
      <c r="B112" s="79"/>
      <c r="C112" s="80" t="s">
        <v>124</v>
      </c>
      <c r="D112" s="68">
        <v>27149</v>
      </c>
      <c r="E112" s="69">
        <v>26655</v>
      </c>
      <c r="F112" s="69">
        <v>25899</v>
      </c>
      <c r="G112" s="69">
        <v>23561</v>
      </c>
      <c r="H112" s="69">
        <v>27929</v>
      </c>
      <c r="I112" s="69">
        <v>26429</v>
      </c>
      <c r="J112" s="69">
        <v>26426</v>
      </c>
      <c r="K112" s="69">
        <v>26073</v>
      </c>
      <c r="L112" s="69"/>
      <c r="M112" s="69"/>
      <c r="N112" s="81">
        <v>210121</v>
      </c>
    </row>
    <row r="113" spans="1:14" ht="11.25">
      <c r="A113" s="79"/>
      <c r="B113" s="79"/>
      <c r="C113" s="80" t="s">
        <v>125</v>
      </c>
      <c r="D113" s="68">
        <v>74943</v>
      </c>
      <c r="E113" s="69"/>
      <c r="F113" s="69"/>
      <c r="G113" s="69">
        <v>50516</v>
      </c>
      <c r="H113" s="69">
        <v>48605</v>
      </c>
      <c r="I113" s="69">
        <v>50736</v>
      </c>
      <c r="J113" s="69">
        <v>49449</v>
      </c>
      <c r="K113" s="69">
        <v>46962</v>
      </c>
      <c r="L113" s="69">
        <v>43875</v>
      </c>
      <c r="M113" s="69">
        <v>41157</v>
      </c>
      <c r="N113" s="81">
        <v>406243</v>
      </c>
    </row>
    <row r="114" spans="1:14" ht="11.25">
      <c r="A114" s="79"/>
      <c r="B114" s="79"/>
      <c r="C114" s="80" t="s">
        <v>126</v>
      </c>
      <c r="D114" s="68"/>
      <c r="E114" s="69"/>
      <c r="F114" s="69"/>
      <c r="G114" s="69">
        <v>233847</v>
      </c>
      <c r="H114" s="69">
        <v>229888</v>
      </c>
      <c r="I114" s="69">
        <v>216041</v>
      </c>
      <c r="J114" s="69">
        <v>204496</v>
      </c>
      <c r="K114" s="69">
        <v>191403</v>
      </c>
      <c r="L114" s="69">
        <v>187997</v>
      </c>
      <c r="M114" s="69">
        <v>204506</v>
      </c>
      <c r="N114" s="81">
        <v>1468178</v>
      </c>
    </row>
    <row r="115" spans="1:14" ht="11.25">
      <c r="A115" s="79"/>
      <c r="B115" s="79"/>
      <c r="C115" s="80" t="s">
        <v>127</v>
      </c>
      <c r="D115" s="68">
        <v>6930</v>
      </c>
      <c r="E115" s="69">
        <v>6870</v>
      </c>
      <c r="F115" s="69">
        <v>6835</v>
      </c>
      <c r="G115" s="69">
        <v>6927</v>
      </c>
      <c r="H115" s="69">
        <v>6973</v>
      </c>
      <c r="I115" s="69">
        <v>6926</v>
      </c>
      <c r="J115" s="69">
        <v>6563</v>
      </c>
      <c r="K115" s="69">
        <v>6771</v>
      </c>
      <c r="L115" s="69">
        <v>6735</v>
      </c>
      <c r="M115" s="69">
        <v>5833</v>
      </c>
      <c r="N115" s="81">
        <v>67363</v>
      </c>
    </row>
    <row r="116" spans="1:14" ht="11.25">
      <c r="A116" s="79"/>
      <c r="B116" s="79"/>
      <c r="C116" s="80" t="s">
        <v>128</v>
      </c>
      <c r="D116" s="68">
        <v>48268</v>
      </c>
      <c r="E116" s="69">
        <v>45232</v>
      </c>
      <c r="F116" s="69">
        <v>45466</v>
      </c>
      <c r="G116" s="69">
        <v>38832</v>
      </c>
      <c r="H116" s="69">
        <v>36767</v>
      </c>
      <c r="I116" s="69">
        <v>39940</v>
      </c>
      <c r="J116" s="69">
        <v>37004</v>
      </c>
      <c r="K116" s="69">
        <v>40146</v>
      </c>
      <c r="L116" s="69">
        <v>40218</v>
      </c>
      <c r="M116" s="69">
        <v>40086</v>
      </c>
      <c r="N116" s="81">
        <v>411959</v>
      </c>
    </row>
    <row r="117" spans="1:14" ht="11.25">
      <c r="A117" s="79"/>
      <c r="B117" s="79"/>
      <c r="C117" s="80" t="s">
        <v>129</v>
      </c>
      <c r="D117" s="68">
        <v>6400</v>
      </c>
      <c r="E117" s="69"/>
      <c r="F117" s="69">
        <v>3331</v>
      </c>
      <c r="G117" s="69">
        <v>3175</v>
      </c>
      <c r="H117" s="69">
        <v>2865</v>
      </c>
      <c r="I117" s="69">
        <v>2908</v>
      </c>
      <c r="J117" s="69">
        <v>3090</v>
      </c>
      <c r="K117" s="69">
        <v>3657</v>
      </c>
      <c r="L117" s="69">
        <v>4118</v>
      </c>
      <c r="M117" s="69"/>
      <c r="N117" s="81">
        <v>29544</v>
      </c>
    </row>
    <row r="118" spans="1:14" ht="11.25">
      <c r="A118" s="79"/>
      <c r="B118" s="79"/>
      <c r="C118" s="80" t="s">
        <v>130</v>
      </c>
      <c r="D118" s="68">
        <v>16800</v>
      </c>
      <c r="E118" s="69">
        <v>15399</v>
      </c>
      <c r="F118" s="69">
        <v>14623</v>
      </c>
      <c r="G118" s="69">
        <v>15707</v>
      </c>
      <c r="H118" s="69">
        <v>16599</v>
      </c>
      <c r="I118" s="69">
        <v>15999</v>
      </c>
      <c r="J118" s="69">
        <v>15597</v>
      </c>
      <c r="K118" s="69">
        <v>17032</v>
      </c>
      <c r="L118" s="69">
        <v>17376</v>
      </c>
      <c r="M118" s="69">
        <v>17244</v>
      </c>
      <c r="N118" s="81">
        <v>162376</v>
      </c>
    </row>
    <row r="119" spans="1:14" ht="11.25">
      <c r="A119" s="79"/>
      <c r="B119" s="79"/>
      <c r="C119" s="80" t="s">
        <v>131</v>
      </c>
      <c r="D119" s="68">
        <v>163586</v>
      </c>
      <c r="E119" s="69">
        <v>160285</v>
      </c>
      <c r="F119" s="69">
        <v>159074</v>
      </c>
      <c r="G119" s="69">
        <v>144036</v>
      </c>
      <c r="H119" s="69">
        <v>149207</v>
      </c>
      <c r="I119" s="69">
        <v>142806</v>
      </c>
      <c r="J119" s="69">
        <v>152640</v>
      </c>
      <c r="K119" s="69">
        <v>155574</v>
      </c>
      <c r="L119" s="69">
        <v>154077</v>
      </c>
      <c r="M119" s="69">
        <v>154768</v>
      </c>
      <c r="N119" s="81">
        <v>1536053</v>
      </c>
    </row>
    <row r="120" spans="1:14" ht="11.25">
      <c r="A120" s="79"/>
      <c r="B120" s="79"/>
      <c r="C120" s="80" t="s">
        <v>132</v>
      </c>
      <c r="D120" s="68">
        <v>61800</v>
      </c>
      <c r="E120" s="69">
        <v>54602</v>
      </c>
      <c r="F120" s="69">
        <v>49312</v>
      </c>
      <c r="G120" s="69">
        <v>52105</v>
      </c>
      <c r="H120" s="69">
        <v>47604</v>
      </c>
      <c r="I120" s="69"/>
      <c r="J120" s="69"/>
      <c r="K120" s="69"/>
      <c r="L120" s="69"/>
      <c r="M120" s="69"/>
      <c r="N120" s="81">
        <v>265423</v>
      </c>
    </row>
    <row r="121" spans="1:14" ht="11.25">
      <c r="A121" s="79"/>
      <c r="B121" s="79"/>
      <c r="C121" s="80" t="s">
        <v>133</v>
      </c>
      <c r="D121" s="68"/>
      <c r="E121" s="69"/>
      <c r="F121" s="69"/>
      <c r="G121" s="69"/>
      <c r="H121" s="69"/>
      <c r="I121" s="69">
        <v>1251</v>
      </c>
      <c r="J121" s="69">
        <v>1377</v>
      </c>
      <c r="K121" s="69">
        <v>2135</v>
      </c>
      <c r="L121" s="69">
        <v>2743</v>
      </c>
      <c r="M121" s="69"/>
      <c r="N121" s="81">
        <v>7506</v>
      </c>
    </row>
    <row r="122" spans="1:14" ht="11.25">
      <c r="A122" s="79"/>
      <c r="B122" s="79"/>
      <c r="C122" s="80" t="s">
        <v>134</v>
      </c>
      <c r="D122" s="68"/>
      <c r="E122" s="69">
        <v>2243</v>
      </c>
      <c r="F122" s="69">
        <v>2140</v>
      </c>
      <c r="G122" s="69">
        <v>2119</v>
      </c>
      <c r="H122" s="69">
        <v>1696</v>
      </c>
      <c r="I122" s="69">
        <v>1728</v>
      </c>
      <c r="J122" s="69">
        <v>1742</v>
      </c>
      <c r="K122" s="69">
        <v>1691</v>
      </c>
      <c r="L122" s="69">
        <v>1315</v>
      </c>
      <c r="M122" s="69"/>
      <c r="N122" s="81">
        <v>14674</v>
      </c>
    </row>
    <row r="123" spans="1:14" ht="11.25">
      <c r="A123" s="79"/>
      <c r="B123" s="79"/>
      <c r="C123" s="80" t="s">
        <v>135</v>
      </c>
      <c r="D123" s="68"/>
      <c r="E123" s="69"/>
      <c r="F123" s="69">
        <v>5132</v>
      </c>
      <c r="G123" s="69">
        <v>4434</v>
      </c>
      <c r="H123" s="69">
        <v>8315</v>
      </c>
      <c r="I123" s="69">
        <v>4856</v>
      </c>
      <c r="J123" s="69">
        <v>4749</v>
      </c>
      <c r="K123" s="69">
        <v>5173</v>
      </c>
      <c r="L123" s="69">
        <v>5502</v>
      </c>
      <c r="M123" s="69">
        <v>5251</v>
      </c>
      <c r="N123" s="81">
        <v>43412</v>
      </c>
    </row>
    <row r="124" spans="1:14" ht="11.25">
      <c r="A124" s="79"/>
      <c r="B124" s="79"/>
      <c r="C124" s="80" t="s">
        <v>136</v>
      </c>
      <c r="D124" s="68">
        <v>35901</v>
      </c>
      <c r="E124" s="69">
        <v>27925</v>
      </c>
      <c r="F124" s="69">
        <v>24847</v>
      </c>
      <c r="G124" s="69">
        <v>18661</v>
      </c>
      <c r="H124" s="69">
        <v>27242</v>
      </c>
      <c r="I124" s="69">
        <v>19405</v>
      </c>
      <c r="J124" s="69">
        <v>18250</v>
      </c>
      <c r="K124" s="69">
        <v>17878</v>
      </c>
      <c r="L124" s="69">
        <v>17667</v>
      </c>
      <c r="M124" s="69">
        <v>16870</v>
      </c>
      <c r="N124" s="81">
        <v>224646</v>
      </c>
    </row>
    <row r="125" spans="1:14" ht="11.25">
      <c r="A125" s="79"/>
      <c r="B125" s="79"/>
      <c r="C125" s="80" t="s">
        <v>137</v>
      </c>
      <c r="D125" s="68">
        <v>4369</v>
      </c>
      <c r="E125" s="69"/>
      <c r="F125" s="69">
        <v>4144</v>
      </c>
      <c r="G125" s="69">
        <v>4032</v>
      </c>
      <c r="H125" s="69">
        <v>4124</v>
      </c>
      <c r="I125" s="69">
        <v>4417</v>
      </c>
      <c r="J125" s="69">
        <v>4335</v>
      </c>
      <c r="K125" s="69">
        <v>4186</v>
      </c>
      <c r="L125" s="69">
        <v>4175</v>
      </c>
      <c r="M125" s="69">
        <v>4067</v>
      </c>
      <c r="N125" s="81">
        <v>37849</v>
      </c>
    </row>
    <row r="126" spans="1:14" ht="11.25">
      <c r="A126" s="79"/>
      <c r="B126" s="79"/>
      <c r="C126" s="80" t="s">
        <v>138</v>
      </c>
      <c r="D126" s="68"/>
      <c r="E126" s="69"/>
      <c r="F126" s="69"/>
      <c r="G126" s="69"/>
      <c r="H126" s="69"/>
      <c r="I126" s="69">
        <v>1629</v>
      </c>
      <c r="J126" s="69">
        <v>1566</v>
      </c>
      <c r="K126" s="69">
        <v>1451</v>
      </c>
      <c r="L126" s="69">
        <v>1422</v>
      </c>
      <c r="M126" s="69">
        <v>1447</v>
      </c>
      <c r="N126" s="81">
        <v>7515</v>
      </c>
    </row>
    <row r="127" spans="1:14" ht="11.25">
      <c r="A127" s="79"/>
      <c r="B127" s="79"/>
      <c r="C127" s="80" t="s">
        <v>139</v>
      </c>
      <c r="D127" s="68">
        <v>66579</v>
      </c>
      <c r="E127" s="69">
        <v>67310</v>
      </c>
      <c r="F127" s="69">
        <v>65400</v>
      </c>
      <c r="G127" s="69">
        <v>60163</v>
      </c>
      <c r="H127" s="69">
        <v>64682</v>
      </c>
      <c r="I127" s="69">
        <v>68890</v>
      </c>
      <c r="J127" s="69">
        <v>68426</v>
      </c>
      <c r="K127" s="69">
        <v>69675</v>
      </c>
      <c r="L127" s="69">
        <v>66459</v>
      </c>
      <c r="M127" s="69">
        <v>58026</v>
      </c>
      <c r="N127" s="81">
        <v>655610</v>
      </c>
    </row>
    <row r="128" spans="1:14" ht="11.25">
      <c r="A128" s="79"/>
      <c r="B128" s="79"/>
      <c r="C128" s="80" t="s">
        <v>140</v>
      </c>
      <c r="D128" s="68"/>
      <c r="E128" s="69"/>
      <c r="F128" s="69"/>
      <c r="G128" s="69"/>
      <c r="H128" s="69"/>
      <c r="I128" s="69">
        <v>69500</v>
      </c>
      <c r="J128" s="69">
        <v>67927</v>
      </c>
      <c r="K128" s="69">
        <v>63333</v>
      </c>
      <c r="L128" s="69">
        <v>55569</v>
      </c>
      <c r="M128" s="69"/>
      <c r="N128" s="81">
        <v>256329</v>
      </c>
    </row>
    <row r="129" spans="1:14" ht="11.25">
      <c r="A129" s="79"/>
      <c r="B129" s="79"/>
      <c r="C129" s="80" t="s">
        <v>141</v>
      </c>
      <c r="D129" s="68"/>
      <c r="E129" s="69"/>
      <c r="F129" s="69"/>
      <c r="G129" s="69"/>
      <c r="H129" s="69"/>
      <c r="I129" s="69">
        <v>580</v>
      </c>
      <c r="J129" s="69">
        <v>693</v>
      </c>
      <c r="K129" s="69">
        <v>514</v>
      </c>
      <c r="L129" s="69">
        <v>443</v>
      </c>
      <c r="M129" s="69"/>
      <c r="N129" s="81">
        <v>2230</v>
      </c>
    </row>
    <row r="130" spans="1:14" ht="11.25">
      <c r="A130" s="79"/>
      <c r="B130" s="79"/>
      <c r="C130" s="80" t="s">
        <v>142</v>
      </c>
      <c r="D130" s="68"/>
      <c r="E130" s="69">
        <v>13100</v>
      </c>
      <c r="F130" s="69">
        <v>8900</v>
      </c>
      <c r="G130" s="69">
        <v>8500</v>
      </c>
      <c r="H130" s="69">
        <v>7172</v>
      </c>
      <c r="I130" s="69">
        <v>6398</v>
      </c>
      <c r="J130" s="69">
        <v>7016</v>
      </c>
      <c r="K130" s="69">
        <v>7811</v>
      </c>
      <c r="L130" s="69">
        <v>6914</v>
      </c>
      <c r="M130" s="69">
        <v>6598</v>
      </c>
      <c r="N130" s="81">
        <v>72409</v>
      </c>
    </row>
    <row r="131" spans="1:14" ht="11.25">
      <c r="A131" s="79"/>
      <c r="B131" s="79"/>
      <c r="C131" s="80" t="s">
        <v>143</v>
      </c>
      <c r="D131" s="68">
        <v>1540</v>
      </c>
      <c r="E131" s="69">
        <v>1566</v>
      </c>
      <c r="F131" s="69">
        <v>1503</v>
      </c>
      <c r="G131" s="69">
        <v>1453</v>
      </c>
      <c r="H131" s="69">
        <v>1493</v>
      </c>
      <c r="I131" s="69">
        <v>1365</v>
      </c>
      <c r="J131" s="69">
        <v>1350</v>
      </c>
      <c r="K131" s="69">
        <v>1048</v>
      </c>
      <c r="L131" s="69">
        <v>1089</v>
      </c>
      <c r="M131" s="69"/>
      <c r="N131" s="81">
        <v>12407</v>
      </c>
    </row>
    <row r="132" spans="1:14" ht="11.25">
      <c r="A132" s="79"/>
      <c r="B132" s="79"/>
      <c r="C132" s="80" t="s">
        <v>144</v>
      </c>
      <c r="D132" s="68">
        <v>14162</v>
      </c>
      <c r="E132" s="69"/>
      <c r="F132" s="69">
        <v>7578</v>
      </c>
      <c r="G132" s="69">
        <v>7053</v>
      </c>
      <c r="H132" s="69">
        <v>6914</v>
      </c>
      <c r="I132" s="69">
        <v>6938</v>
      </c>
      <c r="J132" s="69">
        <v>8865</v>
      </c>
      <c r="K132" s="69">
        <v>9637</v>
      </c>
      <c r="L132" s="69">
        <v>9115</v>
      </c>
      <c r="M132" s="69">
        <v>8357</v>
      </c>
      <c r="N132" s="81">
        <v>78619</v>
      </c>
    </row>
    <row r="133" spans="1:14" ht="11.25">
      <c r="A133" s="79"/>
      <c r="B133" s="79"/>
      <c r="C133" s="80" t="s">
        <v>145</v>
      </c>
      <c r="D133" s="68"/>
      <c r="E133" s="69"/>
      <c r="F133" s="69">
        <v>5500</v>
      </c>
      <c r="G133" s="69">
        <v>3675</v>
      </c>
      <c r="H133" s="69">
        <v>2720</v>
      </c>
      <c r="I133" s="69">
        <v>2370</v>
      </c>
      <c r="J133" s="69">
        <v>2148</v>
      </c>
      <c r="K133" s="69">
        <v>2032</v>
      </c>
      <c r="L133" s="69">
        <v>1666</v>
      </c>
      <c r="M133" s="69">
        <v>868</v>
      </c>
      <c r="N133" s="81">
        <v>20979</v>
      </c>
    </row>
    <row r="134" spans="1:14" ht="11.25">
      <c r="A134" s="79"/>
      <c r="B134" s="79"/>
      <c r="C134" s="80" t="s">
        <v>146</v>
      </c>
      <c r="D134" s="68"/>
      <c r="E134" s="69"/>
      <c r="F134" s="69">
        <v>1095</v>
      </c>
      <c r="G134" s="69">
        <v>1308</v>
      </c>
      <c r="H134" s="69">
        <v>470</v>
      </c>
      <c r="I134" s="69">
        <v>524</v>
      </c>
      <c r="J134" s="69">
        <v>696</v>
      </c>
      <c r="K134" s="69">
        <v>656</v>
      </c>
      <c r="L134" s="69">
        <v>849</v>
      </c>
      <c r="M134" s="69">
        <v>731</v>
      </c>
      <c r="N134" s="81">
        <v>6329</v>
      </c>
    </row>
    <row r="135" spans="1:14" ht="11.25">
      <c r="A135" s="79"/>
      <c r="B135" s="79"/>
      <c r="C135" s="80" t="s">
        <v>147</v>
      </c>
      <c r="D135" s="68">
        <v>11572</v>
      </c>
      <c r="E135" s="69">
        <v>11482</v>
      </c>
      <c r="F135" s="69">
        <v>11042</v>
      </c>
      <c r="G135" s="69">
        <v>10560</v>
      </c>
      <c r="H135" s="69">
        <v>9705</v>
      </c>
      <c r="I135" s="69"/>
      <c r="J135" s="69"/>
      <c r="K135" s="69">
        <v>8500</v>
      </c>
      <c r="L135" s="69">
        <v>4358</v>
      </c>
      <c r="M135" s="69"/>
      <c r="N135" s="81">
        <v>67219</v>
      </c>
    </row>
    <row r="136" spans="1:14" ht="11.25">
      <c r="A136" s="79"/>
      <c r="B136" s="79"/>
      <c r="C136" s="80" t="s">
        <v>148</v>
      </c>
      <c r="D136" s="68">
        <v>11409</v>
      </c>
      <c r="E136" s="69">
        <v>9158</v>
      </c>
      <c r="F136" s="69">
        <v>9093</v>
      </c>
      <c r="G136" s="69">
        <v>8792</v>
      </c>
      <c r="H136" s="69">
        <v>9518</v>
      </c>
      <c r="I136" s="69">
        <v>9390</v>
      </c>
      <c r="J136" s="69">
        <v>9774</v>
      </c>
      <c r="K136" s="69">
        <v>9675</v>
      </c>
      <c r="L136" s="69">
        <v>9685</v>
      </c>
      <c r="M136" s="69">
        <v>8156</v>
      </c>
      <c r="N136" s="81">
        <v>94650</v>
      </c>
    </row>
    <row r="137" spans="1:14" ht="11.25">
      <c r="A137" s="79"/>
      <c r="B137" s="79"/>
      <c r="C137" s="80" t="s">
        <v>149</v>
      </c>
      <c r="D137" s="68">
        <v>125676</v>
      </c>
      <c r="E137" s="69"/>
      <c r="F137" s="69">
        <v>90617</v>
      </c>
      <c r="G137" s="69">
        <v>97523</v>
      </c>
      <c r="H137" s="69">
        <v>104970</v>
      </c>
      <c r="I137" s="69">
        <v>107902</v>
      </c>
      <c r="J137" s="69">
        <v>109857</v>
      </c>
      <c r="K137" s="69">
        <v>110111</v>
      </c>
      <c r="L137" s="69">
        <v>100725</v>
      </c>
      <c r="M137" s="69">
        <v>92188</v>
      </c>
      <c r="N137" s="81">
        <v>939569</v>
      </c>
    </row>
    <row r="138" spans="1:14" ht="11.25">
      <c r="A138" s="79"/>
      <c r="B138" s="79"/>
      <c r="C138" s="80" t="s">
        <v>150</v>
      </c>
      <c r="D138" s="68">
        <v>6300</v>
      </c>
      <c r="E138" s="69">
        <v>7219</v>
      </c>
      <c r="F138" s="69">
        <v>7138</v>
      </c>
      <c r="G138" s="69">
        <v>7196</v>
      </c>
      <c r="H138" s="69">
        <v>6635</v>
      </c>
      <c r="I138" s="69">
        <v>7704</v>
      </c>
      <c r="J138" s="69">
        <v>7152</v>
      </c>
      <c r="K138" s="69">
        <v>7790</v>
      </c>
      <c r="L138" s="69"/>
      <c r="M138" s="69">
        <v>7561</v>
      </c>
      <c r="N138" s="81">
        <v>64695</v>
      </c>
    </row>
    <row r="139" spans="1:14" ht="11.25">
      <c r="A139" s="79"/>
      <c r="B139" s="79"/>
      <c r="C139" s="80" t="s">
        <v>151</v>
      </c>
      <c r="D139" s="68">
        <v>63642</v>
      </c>
      <c r="E139" s="69"/>
      <c r="F139" s="69">
        <v>42887</v>
      </c>
      <c r="G139" s="69">
        <v>39915</v>
      </c>
      <c r="H139" s="69">
        <v>38351</v>
      </c>
      <c r="I139" s="69">
        <v>41272</v>
      </c>
      <c r="J139" s="69">
        <v>39255</v>
      </c>
      <c r="K139" s="69">
        <v>39818</v>
      </c>
      <c r="L139" s="69">
        <v>32761</v>
      </c>
      <c r="M139" s="69">
        <v>27399</v>
      </c>
      <c r="N139" s="81">
        <v>365300</v>
      </c>
    </row>
    <row r="140" spans="1:14" ht="11.25">
      <c r="A140" s="79"/>
      <c r="B140" s="79"/>
      <c r="C140" s="80" t="s">
        <v>152</v>
      </c>
      <c r="D140" s="68"/>
      <c r="E140" s="69"/>
      <c r="F140" s="69"/>
      <c r="G140" s="69">
        <v>965568</v>
      </c>
      <c r="H140" s="69">
        <v>720555</v>
      </c>
      <c r="I140" s="69">
        <v>693897</v>
      </c>
      <c r="J140" s="69">
        <v>634315</v>
      </c>
      <c r="K140" s="69">
        <v>608178</v>
      </c>
      <c r="L140" s="69">
        <v>541924</v>
      </c>
      <c r="M140" s="69">
        <v>627927</v>
      </c>
      <c r="N140" s="81">
        <v>4792364</v>
      </c>
    </row>
    <row r="141" spans="1:14" ht="11.25">
      <c r="A141" s="79"/>
      <c r="B141" s="79"/>
      <c r="C141" s="80" t="s">
        <v>153</v>
      </c>
      <c r="D141" s="68"/>
      <c r="E141" s="69"/>
      <c r="F141" s="69">
        <v>24224</v>
      </c>
      <c r="G141" s="69">
        <v>21676</v>
      </c>
      <c r="H141" s="69">
        <v>23848</v>
      </c>
      <c r="I141" s="69">
        <v>24941</v>
      </c>
      <c r="J141" s="69">
        <v>23033</v>
      </c>
      <c r="K141" s="69">
        <v>23731</v>
      </c>
      <c r="L141" s="69">
        <v>22062</v>
      </c>
      <c r="M141" s="69">
        <v>19391</v>
      </c>
      <c r="N141" s="81">
        <v>182906</v>
      </c>
    </row>
    <row r="142" spans="1:14" ht="11.25">
      <c r="A142" s="79"/>
      <c r="B142" s="79"/>
      <c r="C142" s="80" t="s">
        <v>154</v>
      </c>
      <c r="D142" s="68">
        <v>10710</v>
      </c>
      <c r="E142" s="69">
        <v>9004</v>
      </c>
      <c r="F142" s="69">
        <v>7250</v>
      </c>
      <c r="G142" s="69">
        <v>6712</v>
      </c>
      <c r="H142" s="69">
        <v>7059</v>
      </c>
      <c r="I142" s="69">
        <v>7603</v>
      </c>
      <c r="J142" s="69">
        <v>6940</v>
      </c>
      <c r="K142" s="69">
        <v>7285</v>
      </c>
      <c r="L142" s="69">
        <v>7473</v>
      </c>
      <c r="M142" s="69">
        <v>7620</v>
      </c>
      <c r="N142" s="81">
        <v>77656</v>
      </c>
    </row>
    <row r="143" spans="1:14" ht="11.25">
      <c r="A143" s="79"/>
      <c r="B143" s="79"/>
      <c r="C143" s="80" t="s">
        <v>155</v>
      </c>
      <c r="D143" s="68">
        <v>39808</v>
      </c>
      <c r="E143" s="69">
        <v>38401</v>
      </c>
      <c r="F143" s="69">
        <v>34260</v>
      </c>
      <c r="G143" s="69">
        <v>33325</v>
      </c>
      <c r="H143" s="69">
        <v>37348</v>
      </c>
      <c r="I143" s="69">
        <v>39086</v>
      </c>
      <c r="J143" s="69">
        <v>37719</v>
      </c>
      <c r="K143" s="69">
        <v>33690</v>
      </c>
      <c r="L143" s="69">
        <v>34064</v>
      </c>
      <c r="M143" s="69">
        <v>34474</v>
      </c>
      <c r="N143" s="81">
        <v>362175</v>
      </c>
    </row>
    <row r="144" spans="1:14" ht="11.25">
      <c r="A144" s="79"/>
      <c r="B144" s="79"/>
      <c r="C144" s="80" t="s">
        <v>156</v>
      </c>
      <c r="D144" s="68"/>
      <c r="E144" s="69"/>
      <c r="F144" s="69"/>
      <c r="G144" s="69"/>
      <c r="H144" s="69">
        <v>1311</v>
      </c>
      <c r="I144" s="69">
        <v>1222</v>
      </c>
      <c r="J144" s="69">
        <v>1045</v>
      </c>
      <c r="K144" s="69">
        <v>961</v>
      </c>
      <c r="L144" s="69">
        <v>926</v>
      </c>
      <c r="M144" s="69">
        <v>874</v>
      </c>
      <c r="N144" s="81">
        <v>6339</v>
      </c>
    </row>
    <row r="145" spans="1:14" ht="11.25">
      <c r="A145" s="79"/>
      <c r="B145" s="79"/>
      <c r="C145" s="80" t="s">
        <v>157</v>
      </c>
      <c r="D145" s="68"/>
      <c r="E145" s="69"/>
      <c r="F145" s="69"/>
      <c r="G145" s="69"/>
      <c r="H145" s="69">
        <v>7764</v>
      </c>
      <c r="I145" s="69">
        <v>6066</v>
      </c>
      <c r="J145" s="69">
        <v>4833</v>
      </c>
      <c r="K145" s="69">
        <v>5174</v>
      </c>
      <c r="L145" s="69">
        <v>5414</v>
      </c>
      <c r="M145" s="69"/>
      <c r="N145" s="81">
        <v>29251</v>
      </c>
    </row>
    <row r="146" spans="1:14" ht="11.25">
      <c r="A146" s="79"/>
      <c r="B146" s="79"/>
      <c r="C146" s="80" t="s">
        <v>158</v>
      </c>
      <c r="D146" s="68">
        <v>17883</v>
      </c>
      <c r="E146" s="69"/>
      <c r="F146" s="69">
        <v>18068</v>
      </c>
      <c r="G146" s="69">
        <v>18501</v>
      </c>
      <c r="H146" s="69">
        <v>18145</v>
      </c>
      <c r="I146" s="69">
        <v>18245</v>
      </c>
      <c r="J146" s="69">
        <v>18439</v>
      </c>
      <c r="K146" s="69">
        <v>19259</v>
      </c>
      <c r="L146" s="69">
        <v>17178</v>
      </c>
      <c r="M146" s="69"/>
      <c r="N146" s="81">
        <v>145718</v>
      </c>
    </row>
    <row r="147" spans="1:14" ht="11.25">
      <c r="A147" s="79"/>
      <c r="B147" s="79"/>
      <c r="C147" s="80" t="s">
        <v>159</v>
      </c>
      <c r="D147" s="68"/>
      <c r="E147" s="69"/>
      <c r="F147" s="69"/>
      <c r="G147" s="69">
        <v>191962</v>
      </c>
      <c r="H147" s="69">
        <v>146946</v>
      </c>
      <c r="I147" s="69">
        <v>108835</v>
      </c>
      <c r="J147" s="69">
        <v>87412</v>
      </c>
      <c r="K147" s="69">
        <v>88465</v>
      </c>
      <c r="L147" s="69">
        <v>83496</v>
      </c>
      <c r="M147" s="69">
        <v>81321</v>
      </c>
      <c r="N147" s="81">
        <v>788437</v>
      </c>
    </row>
    <row r="148" spans="1:14" ht="11.25">
      <c r="A148" s="79"/>
      <c r="B148" s="79"/>
      <c r="C148" s="80" t="s">
        <v>160</v>
      </c>
      <c r="D148" s="68">
        <v>610900</v>
      </c>
      <c r="E148" s="69">
        <v>603462</v>
      </c>
      <c r="F148" s="69">
        <v>652502</v>
      </c>
      <c r="G148" s="69"/>
      <c r="H148" s="69">
        <v>709553</v>
      </c>
      <c r="I148" s="69">
        <v>737516</v>
      </c>
      <c r="J148" s="69">
        <v>754448</v>
      </c>
      <c r="K148" s="69">
        <v>764364</v>
      </c>
      <c r="L148" s="69">
        <v>764190</v>
      </c>
      <c r="M148" s="69">
        <v>789121</v>
      </c>
      <c r="N148" s="81">
        <v>6386056</v>
      </c>
    </row>
    <row r="149" spans="1:14" ht="11.25">
      <c r="A149" s="79"/>
      <c r="B149" s="79"/>
      <c r="C149" s="80" t="s">
        <v>161</v>
      </c>
      <c r="D149" s="68"/>
      <c r="E149" s="69"/>
      <c r="F149" s="69"/>
      <c r="G149" s="69"/>
      <c r="H149" s="69"/>
      <c r="I149" s="69">
        <v>12950</v>
      </c>
      <c r="J149" s="69">
        <v>11221</v>
      </c>
      <c r="K149" s="69">
        <v>10223</v>
      </c>
      <c r="L149" s="69">
        <v>9552</v>
      </c>
      <c r="M149" s="69"/>
      <c r="N149" s="81">
        <v>43946</v>
      </c>
    </row>
    <row r="150" spans="1:14" ht="11.25">
      <c r="A150" s="79"/>
      <c r="B150" s="79"/>
      <c r="C150" s="80" t="s">
        <v>162</v>
      </c>
      <c r="D150" s="68"/>
      <c r="E150" s="69"/>
      <c r="F150" s="69"/>
      <c r="G150" s="69"/>
      <c r="H150" s="69"/>
      <c r="I150" s="69"/>
      <c r="J150" s="69"/>
      <c r="K150" s="69"/>
      <c r="L150" s="69">
        <v>5231</v>
      </c>
      <c r="M150" s="69">
        <v>2891</v>
      </c>
      <c r="N150" s="81">
        <v>8122</v>
      </c>
    </row>
    <row r="151" spans="1:14" ht="11.25">
      <c r="A151" s="79"/>
      <c r="B151" s="73" t="s">
        <v>163</v>
      </c>
      <c r="C151" s="71"/>
      <c r="D151" s="76">
        <v>1511030</v>
      </c>
      <c r="E151" s="77">
        <v>1134433</v>
      </c>
      <c r="F151" s="77">
        <v>1403279</v>
      </c>
      <c r="G151" s="77">
        <v>2295294</v>
      </c>
      <c r="H151" s="77">
        <v>2750166</v>
      </c>
      <c r="I151" s="77">
        <v>2723723</v>
      </c>
      <c r="J151" s="77">
        <v>2634868</v>
      </c>
      <c r="K151" s="77">
        <v>2628693</v>
      </c>
      <c r="L151" s="77">
        <v>2487790</v>
      </c>
      <c r="M151" s="77">
        <v>2282708</v>
      </c>
      <c r="N151" s="78">
        <v>21851984</v>
      </c>
    </row>
    <row r="152" spans="1:14" ht="11.25">
      <c r="A152" s="73" t="s">
        <v>168</v>
      </c>
      <c r="B152" s="71"/>
      <c r="C152" s="71"/>
      <c r="D152" s="76">
        <v>1511030</v>
      </c>
      <c r="E152" s="77">
        <v>1134433</v>
      </c>
      <c r="F152" s="77">
        <v>1403279</v>
      </c>
      <c r="G152" s="77">
        <v>2295294</v>
      </c>
      <c r="H152" s="77">
        <v>2750166</v>
      </c>
      <c r="I152" s="77">
        <v>2723723</v>
      </c>
      <c r="J152" s="77">
        <v>2634868</v>
      </c>
      <c r="K152" s="77">
        <v>2628693</v>
      </c>
      <c r="L152" s="77">
        <v>2487790</v>
      </c>
      <c r="M152" s="77">
        <v>2282708</v>
      </c>
      <c r="N152" s="78">
        <v>21851984</v>
      </c>
    </row>
    <row r="153" spans="1:14" ht="11.25">
      <c r="A153" s="82" t="s">
        <v>112</v>
      </c>
      <c r="B153" s="83"/>
      <c r="C153" s="83"/>
      <c r="D153" s="84">
        <v>26016267</v>
      </c>
      <c r="E153" s="85">
        <v>5200912</v>
      </c>
      <c r="F153" s="85">
        <v>6574419</v>
      </c>
      <c r="G153" s="85">
        <v>12247497</v>
      </c>
      <c r="H153" s="85">
        <v>32072844</v>
      </c>
      <c r="I153" s="85">
        <v>12469448</v>
      </c>
      <c r="J153" s="85">
        <v>12264233</v>
      </c>
      <c r="K153" s="85">
        <v>12206908</v>
      </c>
      <c r="L153" s="85">
        <v>11898618</v>
      </c>
      <c r="M153" s="85">
        <v>10673774</v>
      </c>
      <c r="N153" s="86">
        <v>141624920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52"/>
  <sheetViews>
    <sheetView workbookViewId="0" topLeftCell="A1">
      <selection activeCell="D20" sqref="D20"/>
    </sheetView>
  </sheetViews>
  <sheetFormatPr defaultColWidth="9.00390625" defaultRowHeight="12.75"/>
  <cols>
    <col min="1" max="1" width="14.25390625" style="1" customWidth="1"/>
    <col min="2" max="5" width="13.125" style="1" customWidth="1"/>
    <col min="6" max="16384" width="9.25390625" style="1" customWidth="1"/>
  </cols>
  <sheetData>
    <row r="1" ht="11.25">
      <c r="A1" s="3"/>
    </row>
    <row r="3" spans="1:2" ht="11.25">
      <c r="A3" s="3" t="s">
        <v>304</v>
      </c>
      <c r="B3" s="3"/>
    </row>
    <row r="5" ht="11.25">
      <c r="A5" s="3" t="s">
        <v>305</v>
      </c>
    </row>
    <row r="6" spans="1:2" ht="11.25">
      <c r="A6" s="1" t="s">
        <v>306</v>
      </c>
      <c r="B6" s="1" t="s">
        <v>307</v>
      </c>
    </row>
    <row r="8" spans="2:5" ht="11.25">
      <c r="B8" s="166" t="s">
        <v>96</v>
      </c>
      <c r="C8" s="166"/>
      <c r="D8" s="166" t="s">
        <v>91</v>
      </c>
      <c r="E8" s="166"/>
    </row>
    <row r="9" spans="1:6" ht="11.25">
      <c r="A9" s="154"/>
      <c r="B9" s="155" t="s">
        <v>308</v>
      </c>
      <c r="C9" s="155" t="s">
        <v>309</v>
      </c>
      <c r="D9" s="155" t="s">
        <v>308</v>
      </c>
      <c r="E9" s="155" t="s">
        <v>309</v>
      </c>
      <c r="F9" s="1" t="s">
        <v>317</v>
      </c>
    </row>
    <row r="10" spans="2:5" ht="11.25">
      <c r="B10" s="156"/>
      <c r="C10" s="157"/>
      <c r="D10" s="156"/>
      <c r="E10" s="157"/>
    </row>
    <row r="11" spans="1:6" ht="11.25">
      <c r="A11" s="1" t="s">
        <v>0</v>
      </c>
      <c r="B11" s="160">
        <f>+manip_road!C$98</f>
        <v>2.919076706849019</v>
      </c>
      <c r="C11" s="157">
        <f>+manip_road!C$114</f>
        <v>0.03967204443268976</v>
      </c>
      <c r="D11" s="156">
        <f>+manip_rail!C$43</f>
        <v>38.92102275798692</v>
      </c>
      <c r="E11" s="157">
        <f>+manip_rail!C$59</f>
        <v>0.5289605924358636</v>
      </c>
      <c r="F11" s="158">
        <f>+'data_level of use'!C$9</f>
        <v>73.58019352397427</v>
      </c>
    </row>
    <row r="12" spans="1:6" ht="11.25">
      <c r="A12" s="1" t="s">
        <v>29</v>
      </c>
      <c r="B12" s="160">
        <f>+manip_road!D$98</f>
        <v>25.943141282023564</v>
      </c>
      <c r="C12" s="157">
        <f>+manip_road!D$114</f>
        <v>0.31704095112285335</v>
      </c>
      <c r="D12" s="156">
        <f>+manip_rail!D$43</f>
        <v>0</v>
      </c>
      <c r="E12" s="157">
        <f>+manip_rail!D$59</f>
        <v>0</v>
      </c>
      <c r="F12" s="158">
        <f>+'data_level of use'!D$9</f>
        <v>81.82899146038267</v>
      </c>
    </row>
    <row r="13" spans="1:6" ht="11.25">
      <c r="A13" s="1" t="s">
        <v>1</v>
      </c>
      <c r="B13" s="160">
        <f>+manip_road!E$98</f>
        <v>6.327187888316892</v>
      </c>
      <c r="C13" s="157">
        <f>+manip_road!E$114</f>
        <v>0.04857251321386507</v>
      </c>
      <c r="D13" s="156">
        <f>+manip_rail!E$43</f>
        <v>119.74741967387722</v>
      </c>
      <c r="E13" s="157">
        <f>+manip_rail!E$59</f>
        <v>0.9192761819473783</v>
      </c>
      <c r="F13" s="158">
        <f>+'data_level of use'!E$9</f>
        <v>130.2627241143205</v>
      </c>
    </row>
    <row r="14" spans="1:6" ht="11.25">
      <c r="A14" s="1" t="s">
        <v>2</v>
      </c>
      <c r="B14" s="160">
        <f>+manip_road!F$98</f>
        <v>2.056293806796825</v>
      </c>
      <c r="C14" s="157">
        <f>+manip_road!F$114</f>
        <v>0.0679327976625274</v>
      </c>
      <c r="D14" s="156">
        <f>+manip_rail!F$43</f>
        <v>21.403144139562652</v>
      </c>
      <c r="E14" s="157">
        <f>+manip_rail!F$59</f>
        <v>0.7070854638422206</v>
      </c>
      <c r="F14" s="158">
        <f>+'data_level of use'!F$9</f>
        <v>30.269529263493048</v>
      </c>
    </row>
    <row r="15" spans="1:6" ht="11.25">
      <c r="A15" s="1" t="s">
        <v>3</v>
      </c>
      <c r="B15" s="160">
        <f>+manip_road!G$98</f>
        <v>4.815650865312265</v>
      </c>
      <c r="C15" s="157">
        <f>+manip_road!G$114</f>
        <v>0.044701656356016764</v>
      </c>
      <c r="D15" s="156">
        <f>+manip_rail!G$43</f>
        <v>82.54326561324305</v>
      </c>
      <c r="E15" s="157">
        <f>+manip_rail!G$59</f>
        <v>0.7662143284773498</v>
      </c>
      <c r="F15" s="158">
        <f>+'data_level of use'!G$9</f>
        <v>107.72868966999891</v>
      </c>
    </row>
    <row r="16" spans="1:6" ht="11.25">
      <c r="A16" s="1" t="s">
        <v>4</v>
      </c>
      <c r="B16" s="160">
        <f>+manip_road!H$98</f>
        <v>0</v>
      </c>
      <c r="C16" s="157">
        <f>+manip_road!H$114</f>
        <v>0</v>
      </c>
      <c r="D16" s="156">
        <f>+manip_rail!H$43</f>
        <v>36.089736642462334</v>
      </c>
      <c r="E16" s="157">
        <f>+manip_rail!H$59</f>
        <v>0.9827150084317032</v>
      </c>
      <c r="F16" s="158">
        <f>+'data_level of use'!H$9</f>
        <v>36.724519655049626</v>
      </c>
    </row>
    <row r="17" spans="1:6" ht="11.25">
      <c r="A17" s="1" t="s">
        <v>5</v>
      </c>
      <c r="B17" s="160">
        <f>+manip_road!I$98</f>
        <v>6.385911179173047</v>
      </c>
      <c r="C17" s="157">
        <f>+manip_road!I$114</f>
        <v>0.1128552097428958</v>
      </c>
      <c r="D17" s="156">
        <f>+manip_rail!I$43</f>
        <v>29.168453292496174</v>
      </c>
      <c r="E17" s="157">
        <f>+manip_rail!I$59</f>
        <v>0.5154803788903924</v>
      </c>
      <c r="F17" s="158">
        <f>+'data_level of use'!I$9</f>
        <v>56.584992343032155</v>
      </c>
    </row>
    <row r="18" spans="1:6" ht="11.25">
      <c r="A18" s="1" t="s">
        <v>30</v>
      </c>
      <c r="B18" s="160">
        <f>+manip_road!J$98</f>
        <v>0</v>
      </c>
      <c r="C18" s="157">
        <f>+manip_road!J$114</f>
        <v>0</v>
      </c>
      <c r="D18" s="156">
        <f>+manip_rail!J$43</f>
        <v>0</v>
      </c>
      <c r="E18" s="157">
        <f>+manip_rail!J$59</f>
        <v>0</v>
      </c>
      <c r="F18" s="158">
        <f>+'data_level of use'!J$9</f>
        <v>1234.1772151898733</v>
      </c>
    </row>
    <row r="19" spans="1:6" ht="11.25">
      <c r="A19" s="1" t="s">
        <v>6</v>
      </c>
      <c r="B19" s="160">
        <f>+manip_road!K$98</f>
        <v>1.144922206054016</v>
      </c>
      <c r="C19" s="157">
        <f>+manip_road!K$114</f>
        <v>0.00926261319534282</v>
      </c>
      <c r="D19" s="156">
        <f>+manip_rail!K$43</f>
        <v>72.14928762172794</v>
      </c>
      <c r="E19" s="157">
        <f>+manip_rail!K$59</f>
        <v>0.583699870633894</v>
      </c>
      <c r="F19" s="158">
        <f>+'data_level of use'!K$9</f>
        <v>123.60682475974224</v>
      </c>
    </row>
    <row r="20" spans="1:6" ht="11.25">
      <c r="A20" s="1" t="s">
        <v>7</v>
      </c>
      <c r="B20" s="160">
        <f>+manip_road!L$98</f>
        <v>0.4740111833080947</v>
      </c>
      <c r="C20" s="157">
        <f>+manip_road!L$114</f>
        <v>0.005036772899487408</v>
      </c>
      <c r="D20" s="156">
        <f>+manip_rail!L$43</f>
        <v>46.205603399457196</v>
      </c>
      <c r="E20" s="157">
        <f>+manip_rail!L$59</f>
        <v>0.49097392467127254</v>
      </c>
      <c r="F20" s="158">
        <f>+'data_level of use'!L$9</f>
        <v>94.11009643820447</v>
      </c>
    </row>
    <row r="21" spans="1:6" ht="11.25">
      <c r="A21" s="1" t="s">
        <v>8</v>
      </c>
      <c r="B21" s="160">
        <f>+manip_road!M$98</f>
        <v>6.036381434048454</v>
      </c>
      <c r="C21" s="157">
        <f>+manip_road!M$114</f>
        <v>0.054796650739847345</v>
      </c>
      <c r="D21" s="156">
        <f>+manip_rail!M$43</f>
        <v>74.74100660739049</v>
      </c>
      <c r="E21" s="157">
        <f>+manip_rail!M$59</f>
        <v>0.678478800545745</v>
      </c>
      <c r="F21" s="158">
        <f>+'data_level of use'!M$9</f>
        <v>110.159678603475</v>
      </c>
    </row>
    <row r="22" spans="1:6" ht="11.25">
      <c r="A22" s="1" t="s">
        <v>9</v>
      </c>
      <c r="B22" s="160">
        <f>+manip_road!N$98</f>
        <v>21.080173775671405</v>
      </c>
      <c r="C22" s="157">
        <f>+manip_road!N$114</f>
        <v>0.2147887323943662</v>
      </c>
      <c r="D22" s="156">
        <f>+manip_rail!N$43</f>
        <v>59.29107424960506</v>
      </c>
      <c r="E22" s="157">
        <f>+manip_rail!N$59</f>
        <v>0.6041247484909457</v>
      </c>
      <c r="F22" s="158">
        <f>+'data_level of use'!N$9</f>
        <v>98.14375987361768</v>
      </c>
    </row>
    <row r="23" spans="1:6" ht="11.25">
      <c r="A23" s="27" t="s">
        <v>31</v>
      </c>
      <c r="B23" s="160">
        <f>+manip_road!O$98</f>
        <v>2.288288172015255</v>
      </c>
      <c r="C23" s="157">
        <f>+manip_road!O$114</f>
        <v>0.02715451886113366</v>
      </c>
      <c r="D23" s="156">
        <f>+manip_rail!O$43</f>
        <v>11.191058510741275</v>
      </c>
      <c r="E23" s="157">
        <f>+manip_rail!O$59</f>
        <v>0.13280137227574165</v>
      </c>
      <c r="F23" s="158">
        <f>+'data_level of use'!O$9</f>
        <v>84.26914811922846</v>
      </c>
    </row>
    <row r="24" spans="1:6" ht="11.25">
      <c r="A24" s="3" t="s">
        <v>175</v>
      </c>
      <c r="B24" s="161">
        <f>+manip_road!B$98</f>
        <v>3.7613938550360433</v>
      </c>
      <c r="C24" s="162">
        <f>+manip_road!B$114</f>
        <v>0.03708049684662277</v>
      </c>
      <c r="D24" s="163">
        <f>+manip_rail!B$43</f>
        <v>67.36483083205606</v>
      </c>
      <c r="E24" s="162">
        <f>+manip_rail!B$59</f>
        <v>0.6640946131968929</v>
      </c>
      <c r="F24" s="164">
        <f>+'data_level of use'!B$9</f>
        <v>101.43860452017176</v>
      </c>
    </row>
    <row r="25" spans="1:6" ht="11.25">
      <c r="A25" s="3" t="s">
        <v>68</v>
      </c>
      <c r="B25" s="164">
        <f>+'[6]data_infra_in_fact_sheet'!B24</f>
        <v>15.93020512575382</v>
      </c>
      <c r="C25" s="165">
        <f>+'[6]data_infra_in_fact_sheet'!C24</f>
        <v>0.13723714965220202</v>
      </c>
      <c r="D25" s="164">
        <f>+'[6]data_infra_in_fact_sheet'!D24</f>
        <v>47.18462859795013</v>
      </c>
      <c r="E25" s="165">
        <f>+'[6]data_infra_in_fact_sheet'!E24</f>
        <v>0.40649093248094825</v>
      </c>
      <c r="F25" s="164">
        <f>+'[6]data_level_of_use_rail'!$B$9</f>
        <v>116.07793637601404</v>
      </c>
    </row>
    <row r="26" spans="1:5" ht="11.25">
      <c r="A26" s="27"/>
      <c r="B26" s="156"/>
      <c r="C26" s="157"/>
      <c r="D26" s="156"/>
      <c r="E26" s="157"/>
    </row>
    <row r="28" spans="1:6" ht="11.25">
      <c r="A28" s="39"/>
      <c r="C28" s="95"/>
      <c r="D28" s="95"/>
      <c r="E28" s="95"/>
      <c r="F28" s="95"/>
    </row>
    <row r="29" spans="1:6" ht="11.25">
      <c r="A29" s="39" t="s">
        <v>78</v>
      </c>
      <c r="B29" s="129" t="s">
        <v>310</v>
      </c>
      <c r="C29" s="156"/>
      <c r="D29" s="156"/>
      <c r="E29" s="156"/>
      <c r="F29" s="156"/>
    </row>
    <row r="34" ht="11.25">
      <c r="A34" s="3"/>
    </row>
    <row r="36" ht="11.25">
      <c r="A36" s="117"/>
    </row>
    <row r="37" spans="1:3" ht="11.25">
      <c r="A37" s="117"/>
      <c r="B37" s="118"/>
      <c r="C37" s="118"/>
    </row>
    <row r="38" spans="1:6" ht="11.25">
      <c r="A38" s="117"/>
      <c r="B38" s="119"/>
      <c r="C38" s="119"/>
      <c r="F38" s="2"/>
    </row>
    <row r="39" spans="1:6" ht="11.25">
      <c r="A39" s="117"/>
      <c r="B39" s="120"/>
      <c r="C39" s="120"/>
      <c r="F39" s="2"/>
    </row>
    <row r="40" spans="1:7" ht="11.25">
      <c r="A40" s="118"/>
      <c r="B40" s="123"/>
      <c r="C40" s="123"/>
      <c r="F40" s="2"/>
      <c r="G40" s="115"/>
    </row>
    <row r="42" ht="11.25">
      <c r="A42" s="117"/>
    </row>
    <row r="43" spans="2:3" ht="11.25">
      <c r="B43" s="118"/>
      <c r="C43" s="118"/>
    </row>
    <row r="44" spans="1:7" ht="11.25">
      <c r="A44" s="117"/>
      <c r="B44" s="118"/>
      <c r="C44" s="118"/>
      <c r="E44" s="117"/>
      <c r="F44" s="118"/>
      <c r="G44" s="118"/>
    </row>
    <row r="45" spans="1:7" ht="11.25">
      <c r="A45" s="117"/>
      <c r="B45" s="119"/>
      <c r="C45" s="119"/>
      <c r="E45" s="117"/>
      <c r="F45" s="119"/>
      <c r="G45" s="119"/>
    </row>
    <row r="46" spans="1:7" ht="11.25">
      <c r="A46" s="117"/>
      <c r="B46" s="120"/>
      <c r="C46" s="120"/>
      <c r="E46" s="117"/>
      <c r="F46" s="120"/>
      <c r="G46" s="120"/>
    </row>
    <row r="50" spans="1:3" ht="11.25">
      <c r="A50" s="117"/>
      <c r="B50" s="118"/>
      <c r="C50" s="118"/>
    </row>
    <row r="51" spans="1:3" ht="11.25">
      <c r="A51" s="117"/>
      <c r="B51" s="127"/>
      <c r="C51" s="127"/>
    </row>
    <row r="52" spans="1:3" ht="11.25">
      <c r="A52" s="117"/>
      <c r="B52" s="123"/>
      <c r="C52" s="123"/>
    </row>
  </sheetData>
  <mergeCells count="2">
    <mergeCell ref="D8:E8"/>
    <mergeCell ref="B8:C8"/>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M35"/>
  <sheetViews>
    <sheetView workbookViewId="0" topLeftCell="A1">
      <pane ySplit="2" topLeftCell="BM3" activePane="bottomLeft" state="frozen"/>
      <selection pane="topLeft" activeCell="C12" sqref="C12"/>
      <selection pane="bottomLeft" activeCell="K35" sqref="K35"/>
    </sheetView>
  </sheetViews>
  <sheetFormatPr defaultColWidth="9.00390625" defaultRowHeight="12.75"/>
  <cols>
    <col min="1" max="23" width="9.125" style="45" customWidth="1"/>
    <col min="24" max="24" width="4.00390625" style="50" customWidth="1"/>
    <col min="25" max="25" width="12.25390625" style="45" customWidth="1"/>
    <col min="26" max="16384" width="9.125" style="45" customWidth="1"/>
  </cols>
  <sheetData>
    <row r="1" spans="3:29" ht="11.25">
      <c r="C1" s="46" t="s">
        <v>169</v>
      </c>
      <c r="D1" s="47"/>
      <c r="N1" s="48" t="s">
        <v>170</v>
      </c>
      <c r="O1" s="49"/>
      <c r="P1" s="49"/>
      <c r="Q1" s="49"/>
      <c r="Y1" s="51" t="s">
        <v>171</v>
      </c>
      <c r="Z1" s="52"/>
      <c r="AA1" s="52"/>
      <c r="AB1" s="52"/>
      <c r="AC1" s="52"/>
    </row>
    <row r="2" spans="3:35" ht="11.25">
      <c r="C2" s="53">
        <v>1990</v>
      </c>
      <c r="D2" s="53">
        <v>1991</v>
      </c>
      <c r="E2" s="53">
        <v>1992</v>
      </c>
      <c r="F2" s="53">
        <v>1993</v>
      </c>
      <c r="G2" s="53">
        <v>1994</v>
      </c>
      <c r="H2" s="53">
        <v>1995</v>
      </c>
      <c r="I2" s="53">
        <v>1996</v>
      </c>
      <c r="J2" s="53">
        <v>1997</v>
      </c>
      <c r="K2" s="53">
        <v>1998</v>
      </c>
      <c r="L2" s="53">
        <v>1999</v>
      </c>
      <c r="M2" s="54"/>
      <c r="N2" s="53">
        <v>1990</v>
      </c>
      <c r="O2" s="53">
        <v>1991</v>
      </c>
      <c r="P2" s="53">
        <v>1992</v>
      </c>
      <c r="Q2" s="53">
        <v>1993</v>
      </c>
      <c r="R2" s="53">
        <v>1994</v>
      </c>
      <c r="S2" s="53">
        <v>1995</v>
      </c>
      <c r="T2" s="53">
        <v>1996</v>
      </c>
      <c r="U2" s="53">
        <v>1997</v>
      </c>
      <c r="V2" s="53">
        <v>1998</v>
      </c>
      <c r="W2" s="53">
        <v>1999</v>
      </c>
      <c r="X2" s="55"/>
      <c r="Z2" s="53">
        <v>1990</v>
      </c>
      <c r="AA2" s="53">
        <v>1991</v>
      </c>
      <c r="AB2" s="53">
        <v>1992</v>
      </c>
      <c r="AC2" s="53">
        <v>1993</v>
      </c>
      <c r="AD2" s="53">
        <v>1994</v>
      </c>
      <c r="AE2" s="53">
        <v>1995</v>
      </c>
      <c r="AF2" s="53">
        <v>1996</v>
      </c>
      <c r="AG2" s="53">
        <v>1997</v>
      </c>
      <c r="AH2" s="53">
        <v>1998</v>
      </c>
      <c r="AI2" s="53">
        <v>1999</v>
      </c>
    </row>
    <row r="3" spans="13:39" ht="11.25">
      <c r="M3" s="54"/>
      <c r="AL3" s="45">
        <v>1993</v>
      </c>
      <c r="AM3" s="45">
        <v>1998</v>
      </c>
    </row>
    <row r="4" spans="1:39" ht="11.25">
      <c r="A4" s="45" t="s">
        <v>172</v>
      </c>
      <c r="B4" s="42" t="s">
        <v>173</v>
      </c>
      <c r="C4" s="56"/>
      <c r="D4" s="56">
        <v>4299</v>
      </c>
      <c r="E4" s="56">
        <v>4299</v>
      </c>
      <c r="F4" s="56">
        <v>4294</v>
      </c>
      <c r="G4" s="56">
        <v>4294</v>
      </c>
      <c r="H4" s="56">
        <v>4291</v>
      </c>
      <c r="I4" s="56">
        <v>4293</v>
      </c>
      <c r="J4" s="56">
        <v>4293</v>
      </c>
      <c r="K4" s="56">
        <v>4291</v>
      </c>
      <c r="L4" s="56">
        <v>4290</v>
      </c>
      <c r="M4" s="42" t="s">
        <v>173</v>
      </c>
      <c r="N4" s="57">
        <v>58792</v>
      </c>
      <c r="O4" s="58">
        <v>47940</v>
      </c>
      <c r="P4" s="58">
        <v>47642</v>
      </c>
      <c r="Q4" s="58">
        <v>47568</v>
      </c>
      <c r="R4" s="58">
        <v>47433</v>
      </c>
      <c r="S4" s="58">
        <v>47577</v>
      </c>
      <c r="T4" s="58">
        <v>45058</v>
      </c>
      <c r="U4" s="58">
        <v>45546</v>
      </c>
      <c r="V4" s="58">
        <v>41052</v>
      </c>
      <c r="W4" s="58"/>
      <c r="X4" s="59"/>
      <c r="Y4" s="42" t="s">
        <v>173</v>
      </c>
      <c r="Z4" s="60" t="s">
        <v>174</v>
      </c>
      <c r="AA4" s="61">
        <f aca="true" t="shared" si="0" ref="AA4:AH4">O4/D4</f>
        <v>11.151430565247733</v>
      </c>
      <c r="AB4" s="61">
        <f t="shared" si="0"/>
        <v>11.082112119097465</v>
      </c>
      <c r="AC4" s="61">
        <f t="shared" si="0"/>
        <v>11.077782952957616</v>
      </c>
      <c r="AD4" s="61">
        <f t="shared" si="0"/>
        <v>11.046343735444808</v>
      </c>
      <c r="AE4" s="61">
        <f t="shared" si="0"/>
        <v>11.08762526217665</v>
      </c>
      <c r="AF4" s="61">
        <f t="shared" si="0"/>
        <v>10.495690659212672</v>
      </c>
      <c r="AG4" s="61">
        <f t="shared" si="0"/>
        <v>10.609364081062195</v>
      </c>
      <c r="AH4" s="61">
        <f t="shared" si="0"/>
        <v>9.567000699137731</v>
      </c>
      <c r="AI4" s="60" t="s">
        <v>174</v>
      </c>
      <c r="AK4" s="42" t="s">
        <v>175</v>
      </c>
      <c r="AL4" s="62">
        <f>AC15</f>
        <v>12.147395769043126</v>
      </c>
      <c r="AM4" s="62">
        <f>AH15</f>
        <v>12.088321079176035</v>
      </c>
    </row>
    <row r="5" spans="2:39" ht="11.25">
      <c r="B5" s="42" t="s">
        <v>176</v>
      </c>
      <c r="C5" s="56">
        <v>9451</v>
      </c>
      <c r="D5" s="56">
        <v>9454</v>
      </c>
      <c r="E5" s="56">
        <v>9439</v>
      </c>
      <c r="F5" s="56">
        <v>9441</v>
      </c>
      <c r="G5" s="56">
        <v>9375</v>
      </c>
      <c r="H5" s="56">
        <v>9327</v>
      </c>
      <c r="I5" s="56">
        <v>9314</v>
      </c>
      <c r="J5" s="56">
        <v>9430</v>
      </c>
      <c r="K5" s="56">
        <v>9430</v>
      </c>
      <c r="L5" s="56">
        <v>9444</v>
      </c>
      <c r="M5" s="42" t="s">
        <v>176</v>
      </c>
      <c r="N5" s="57"/>
      <c r="O5" s="58"/>
      <c r="P5" s="58"/>
      <c r="Q5" s="58">
        <v>143777</v>
      </c>
      <c r="R5" s="58">
        <v>148740</v>
      </c>
      <c r="S5" s="58">
        <v>158784</v>
      </c>
      <c r="T5" s="58">
        <v>153699</v>
      </c>
      <c r="U5" s="58">
        <v>144516</v>
      </c>
      <c r="V5" s="58">
        <v>137251</v>
      </c>
      <c r="W5" s="58">
        <v>136868</v>
      </c>
      <c r="X5" s="59"/>
      <c r="Y5" s="42" t="s">
        <v>176</v>
      </c>
      <c r="Z5" s="60" t="s">
        <v>174</v>
      </c>
      <c r="AA5" s="60" t="s">
        <v>174</v>
      </c>
      <c r="AB5" s="60" t="s">
        <v>174</v>
      </c>
      <c r="AC5" s="61">
        <f aca="true" t="shared" si="1" ref="AC5:AI5">Q5/F5</f>
        <v>15.229001165130812</v>
      </c>
      <c r="AD5" s="61">
        <f t="shared" si="1"/>
        <v>15.8656</v>
      </c>
      <c r="AE5" s="61">
        <f t="shared" si="1"/>
        <v>17.024123512383404</v>
      </c>
      <c r="AF5" s="61">
        <f t="shared" si="1"/>
        <v>16.501932574618852</v>
      </c>
      <c r="AG5" s="61">
        <f t="shared" si="1"/>
        <v>15.325132555673383</v>
      </c>
      <c r="AH5" s="61">
        <f t="shared" si="1"/>
        <v>14.554718981972428</v>
      </c>
      <c r="AI5" s="61">
        <f t="shared" si="1"/>
        <v>14.492587886488776</v>
      </c>
      <c r="AK5" s="42" t="s">
        <v>177</v>
      </c>
      <c r="AL5" s="62">
        <f>AC35</f>
        <v>17.817818192282235</v>
      </c>
      <c r="AM5" s="62">
        <f>AH35</f>
        <v>18.782699207157727</v>
      </c>
    </row>
    <row r="6" spans="2:35" ht="11.25">
      <c r="B6" s="42" t="s">
        <v>178</v>
      </c>
      <c r="C6" s="56">
        <v>1026</v>
      </c>
      <c r="D6" s="56">
        <v>1026</v>
      </c>
      <c r="E6" s="56">
        <v>1018.4</v>
      </c>
      <c r="F6" s="56">
        <v>1024</v>
      </c>
      <c r="G6" s="56">
        <v>1024</v>
      </c>
      <c r="H6" s="56">
        <v>1020.7</v>
      </c>
      <c r="I6" s="56">
        <v>1019.7</v>
      </c>
      <c r="J6" s="56">
        <v>966</v>
      </c>
      <c r="K6" s="56">
        <v>968</v>
      </c>
      <c r="L6" s="56">
        <v>968</v>
      </c>
      <c r="M6" s="42" t="s">
        <v>178</v>
      </c>
      <c r="N6" s="57"/>
      <c r="O6" s="58"/>
      <c r="P6" s="58">
        <v>8933</v>
      </c>
      <c r="Q6" s="58">
        <v>8825</v>
      </c>
      <c r="R6" s="58">
        <v>8225</v>
      </c>
      <c r="S6" s="58">
        <v>8052</v>
      </c>
      <c r="T6" s="58">
        <v>7558</v>
      </c>
      <c r="U6" s="58">
        <v>8023</v>
      </c>
      <c r="V6" s="58">
        <v>8464</v>
      </c>
      <c r="W6" s="58"/>
      <c r="X6" s="59"/>
      <c r="Y6" s="42" t="s">
        <v>178</v>
      </c>
      <c r="Z6" s="60" t="s">
        <v>174</v>
      </c>
      <c r="AA6" s="60" t="s">
        <v>174</v>
      </c>
      <c r="AB6" s="61">
        <f aca="true" t="shared" si="2" ref="AB6:AH13">P6/E6</f>
        <v>8.771602513747055</v>
      </c>
      <c r="AC6" s="61">
        <f t="shared" si="2"/>
        <v>8.6181640625</v>
      </c>
      <c r="AD6" s="61">
        <f t="shared" si="2"/>
        <v>8.0322265625</v>
      </c>
      <c r="AE6" s="61">
        <f t="shared" si="2"/>
        <v>7.888703830704419</v>
      </c>
      <c r="AF6" s="61">
        <f t="shared" si="2"/>
        <v>7.4119839168382855</v>
      </c>
      <c r="AG6" s="61">
        <f t="shared" si="2"/>
        <v>8.305383022774327</v>
      </c>
      <c r="AH6" s="61">
        <f t="shared" si="2"/>
        <v>8.743801652892563</v>
      </c>
      <c r="AI6" s="60" t="s">
        <v>174</v>
      </c>
    </row>
    <row r="7" spans="2:35" ht="11.25">
      <c r="B7" s="42" t="s">
        <v>179</v>
      </c>
      <c r="C7" s="56">
        <v>7772</v>
      </c>
      <c r="D7" s="56">
        <v>7766</v>
      </c>
      <c r="E7" s="56">
        <v>7707</v>
      </c>
      <c r="F7" s="56">
        <v>7709</v>
      </c>
      <c r="G7" s="56">
        <v>7715</v>
      </c>
      <c r="H7" s="56">
        <v>7632</v>
      </c>
      <c r="I7" s="56">
        <v>7619</v>
      </c>
      <c r="J7" s="56">
        <v>7593</v>
      </c>
      <c r="K7" s="56">
        <v>7642</v>
      </c>
      <c r="L7" s="56">
        <v>7652</v>
      </c>
      <c r="M7" s="42" t="s">
        <v>179</v>
      </c>
      <c r="N7" s="57">
        <v>104672</v>
      </c>
      <c r="O7" s="58">
        <v>98045</v>
      </c>
      <c r="P7" s="58">
        <v>97126</v>
      </c>
      <c r="Q7" s="58">
        <v>99507</v>
      </c>
      <c r="R7" s="58">
        <v>98303</v>
      </c>
      <c r="S7" s="58">
        <v>102181</v>
      </c>
      <c r="T7" s="58">
        <v>95457</v>
      </c>
      <c r="U7" s="58">
        <v>104020</v>
      </c>
      <c r="V7" s="58">
        <v>103009</v>
      </c>
      <c r="W7" s="58">
        <v>102988</v>
      </c>
      <c r="X7" s="59"/>
      <c r="Y7" s="42" t="s">
        <v>179</v>
      </c>
      <c r="Z7" s="61">
        <f>N7/C7</f>
        <v>13.467833247555326</v>
      </c>
      <c r="AA7" s="61">
        <f>O7/D7</f>
        <v>12.62490342518671</v>
      </c>
      <c r="AB7" s="61">
        <f t="shared" si="2"/>
        <v>12.60230958868561</v>
      </c>
      <c r="AC7" s="61">
        <f t="shared" si="2"/>
        <v>12.907899857309639</v>
      </c>
      <c r="AD7" s="61">
        <f t="shared" si="2"/>
        <v>12.741801685029165</v>
      </c>
      <c r="AE7" s="61">
        <f t="shared" si="2"/>
        <v>13.388495807127883</v>
      </c>
      <c r="AF7" s="61">
        <f t="shared" si="2"/>
        <v>12.52880955505972</v>
      </c>
      <c r="AG7" s="61">
        <f t="shared" si="2"/>
        <v>13.699460028974055</v>
      </c>
      <c r="AH7" s="61">
        <f t="shared" si="2"/>
        <v>13.479324784087934</v>
      </c>
      <c r="AI7" s="61">
        <f aca="true" t="shared" si="3" ref="AI7:AI13">W7/L7</f>
        <v>13.458964976476738</v>
      </c>
    </row>
    <row r="8" spans="2:35" ht="11.25">
      <c r="B8" s="42" t="s">
        <v>180</v>
      </c>
      <c r="C8" s="56">
        <v>2397</v>
      </c>
      <c r="D8" s="56">
        <v>2397</v>
      </c>
      <c r="E8" s="56">
        <v>2406</v>
      </c>
      <c r="F8" s="56">
        <v>2413</v>
      </c>
      <c r="G8" s="56">
        <v>2413</v>
      </c>
      <c r="H8" s="56">
        <v>2413</v>
      </c>
      <c r="I8" s="56">
        <v>2413</v>
      </c>
      <c r="J8" s="56">
        <v>2413</v>
      </c>
      <c r="K8" s="56">
        <v>2413</v>
      </c>
      <c r="L8" s="56">
        <v>2413</v>
      </c>
      <c r="M8" s="42" t="s">
        <v>180</v>
      </c>
      <c r="N8" s="57">
        <v>29082</v>
      </c>
      <c r="O8" s="58"/>
      <c r="P8" s="58">
        <v>22012</v>
      </c>
      <c r="Q8" s="58">
        <v>21151</v>
      </c>
      <c r="R8" s="58">
        <v>20624</v>
      </c>
      <c r="S8" s="58">
        <v>18870</v>
      </c>
      <c r="T8" s="58">
        <v>20444</v>
      </c>
      <c r="U8" s="58">
        <v>21481</v>
      </c>
      <c r="V8" s="58">
        <v>19910</v>
      </c>
      <c r="W8" s="58">
        <v>18241</v>
      </c>
      <c r="X8" s="59"/>
      <c r="Y8" s="42" t="s">
        <v>180</v>
      </c>
      <c r="Z8" s="61">
        <f aca="true" t="shared" si="4" ref="Z8:Z13">N8/C8</f>
        <v>12.132665832290362</v>
      </c>
      <c r="AA8" s="60" t="s">
        <v>174</v>
      </c>
      <c r="AB8" s="61">
        <f t="shared" si="2"/>
        <v>9.14879467996675</v>
      </c>
      <c r="AC8" s="61">
        <f t="shared" si="2"/>
        <v>8.765437215084956</v>
      </c>
      <c r="AD8" s="61">
        <f t="shared" si="2"/>
        <v>8.54703688354745</v>
      </c>
      <c r="AE8" s="61">
        <f t="shared" si="2"/>
        <v>7.820140903439702</v>
      </c>
      <c r="AF8" s="61">
        <f t="shared" si="2"/>
        <v>8.472440944881889</v>
      </c>
      <c r="AG8" s="61">
        <f t="shared" si="2"/>
        <v>8.902196435971819</v>
      </c>
      <c r="AH8" s="61">
        <f t="shared" si="2"/>
        <v>8.251139660174058</v>
      </c>
      <c r="AI8" s="61">
        <f t="shared" si="3"/>
        <v>7.559469539991712</v>
      </c>
    </row>
    <row r="9" spans="2:35" ht="11.25">
      <c r="B9" s="42" t="s">
        <v>181</v>
      </c>
      <c r="C9" s="56">
        <v>2007</v>
      </c>
      <c r="D9" s="56">
        <v>2007</v>
      </c>
      <c r="E9" s="56">
        <v>2001.8</v>
      </c>
      <c r="F9" s="56">
        <v>2001.8</v>
      </c>
      <c r="G9" s="56">
        <v>2001.8</v>
      </c>
      <c r="H9" s="56">
        <v>2001.8</v>
      </c>
      <c r="I9" s="56">
        <v>1996.8</v>
      </c>
      <c r="J9" s="56">
        <v>1998</v>
      </c>
      <c r="K9" s="56">
        <v>1998</v>
      </c>
      <c r="L9" s="56">
        <v>1905</v>
      </c>
      <c r="M9" s="42" t="s">
        <v>181</v>
      </c>
      <c r="N9" s="57"/>
      <c r="O9" s="58"/>
      <c r="P9" s="58">
        <v>21562</v>
      </c>
      <c r="Q9" s="58">
        <v>20848</v>
      </c>
      <c r="R9" s="58">
        <v>18639</v>
      </c>
      <c r="S9" s="58">
        <v>17006</v>
      </c>
      <c r="T9" s="58">
        <v>16829</v>
      </c>
      <c r="U9" s="58">
        <v>16172</v>
      </c>
      <c r="V9" s="58">
        <v>15482</v>
      </c>
      <c r="W9" s="58">
        <v>14627</v>
      </c>
      <c r="X9" s="59"/>
      <c r="Y9" s="42" t="s">
        <v>181</v>
      </c>
      <c r="Z9" s="61">
        <f t="shared" si="4"/>
        <v>0</v>
      </c>
      <c r="AA9" s="60" t="s">
        <v>174</v>
      </c>
      <c r="AB9" s="61">
        <f t="shared" si="2"/>
        <v>10.771305824757718</v>
      </c>
      <c r="AC9" s="61">
        <f t="shared" si="2"/>
        <v>10.414626835847738</v>
      </c>
      <c r="AD9" s="61">
        <f t="shared" si="2"/>
        <v>9.311119992007194</v>
      </c>
      <c r="AE9" s="61">
        <f t="shared" si="2"/>
        <v>8.495354181236888</v>
      </c>
      <c r="AF9" s="61">
        <f t="shared" si="2"/>
        <v>8.427984775641026</v>
      </c>
      <c r="AG9" s="61">
        <f t="shared" si="2"/>
        <v>8.094094094094094</v>
      </c>
      <c r="AH9" s="61">
        <f t="shared" si="2"/>
        <v>7.748748748748748</v>
      </c>
      <c r="AI9" s="61">
        <f t="shared" si="3"/>
        <v>7.678215223097113</v>
      </c>
    </row>
    <row r="10" spans="2:35" ht="11.25">
      <c r="B10" s="42" t="s">
        <v>182</v>
      </c>
      <c r="C10" s="56">
        <v>26228</v>
      </c>
      <c r="D10" s="56">
        <v>25848</v>
      </c>
      <c r="E10" s="56">
        <v>25254</v>
      </c>
      <c r="F10" s="56">
        <v>24926</v>
      </c>
      <c r="G10" s="56">
        <v>24313</v>
      </c>
      <c r="H10" s="56">
        <v>23986</v>
      </c>
      <c r="I10" s="56">
        <v>23420</v>
      </c>
      <c r="J10" s="56">
        <v>23424</v>
      </c>
      <c r="K10" s="56">
        <v>23210</v>
      </c>
      <c r="L10" s="56">
        <v>22891</v>
      </c>
      <c r="M10" s="42" t="s">
        <v>182</v>
      </c>
      <c r="N10" s="57">
        <v>360223</v>
      </c>
      <c r="O10" s="58"/>
      <c r="P10" s="58">
        <v>286233</v>
      </c>
      <c r="Q10" s="58">
        <v>289302</v>
      </c>
      <c r="R10" s="58">
        <v>299835</v>
      </c>
      <c r="S10" s="58">
        <v>292426</v>
      </c>
      <c r="T10" s="58">
        <v>290503</v>
      </c>
      <c r="U10" s="58">
        <v>290971</v>
      </c>
      <c r="V10" s="58">
        <v>284182</v>
      </c>
      <c r="W10" s="58">
        <v>279317</v>
      </c>
      <c r="X10" s="59"/>
      <c r="Y10" s="42" t="s">
        <v>182</v>
      </c>
      <c r="Z10" s="61">
        <f t="shared" si="4"/>
        <v>13.734291596766814</v>
      </c>
      <c r="AA10" s="60" t="s">
        <v>174</v>
      </c>
      <c r="AB10" s="61">
        <f t="shared" si="2"/>
        <v>11.334164884770729</v>
      </c>
      <c r="AC10" s="61">
        <f t="shared" si="2"/>
        <v>11.606435047741314</v>
      </c>
      <c r="AD10" s="61">
        <f t="shared" si="2"/>
        <v>12.332291366758524</v>
      </c>
      <c r="AE10" s="61">
        <f t="shared" si="2"/>
        <v>12.191528391561745</v>
      </c>
      <c r="AF10" s="61">
        <f t="shared" si="2"/>
        <v>12.40405636208369</v>
      </c>
      <c r="AG10" s="61">
        <f t="shared" si="2"/>
        <v>12.42191769125683</v>
      </c>
      <c r="AH10" s="61">
        <f t="shared" si="2"/>
        <v>12.243946574752261</v>
      </c>
      <c r="AI10" s="61">
        <f t="shared" si="3"/>
        <v>12.202044471626403</v>
      </c>
    </row>
    <row r="11" spans="2:35" ht="11.25">
      <c r="B11" s="42" t="s">
        <v>183</v>
      </c>
      <c r="C11" s="56">
        <v>11348</v>
      </c>
      <c r="D11" s="56">
        <v>11365</v>
      </c>
      <c r="E11" s="56">
        <v>11430</v>
      </c>
      <c r="F11" s="56">
        <v>11380</v>
      </c>
      <c r="G11" s="56">
        <v>11374</v>
      </c>
      <c r="H11" s="56">
        <v>11376</v>
      </c>
      <c r="I11" s="56">
        <v>11385</v>
      </c>
      <c r="J11" s="56">
        <v>11380</v>
      </c>
      <c r="K11" s="56">
        <v>11010</v>
      </c>
      <c r="L11" s="56">
        <v>10981</v>
      </c>
      <c r="M11" s="42" t="s">
        <v>183</v>
      </c>
      <c r="N11" s="57">
        <v>150406</v>
      </c>
      <c r="O11" s="58"/>
      <c r="P11" s="58">
        <v>121877</v>
      </c>
      <c r="Q11" s="58">
        <v>118196</v>
      </c>
      <c r="R11" s="58">
        <v>116102</v>
      </c>
      <c r="S11" s="58">
        <v>122369</v>
      </c>
      <c r="T11" s="58">
        <v>125292</v>
      </c>
      <c r="U11" s="58">
        <v>123097</v>
      </c>
      <c r="V11" s="58">
        <v>109160</v>
      </c>
      <c r="W11" s="58">
        <v>97676</v>
      </c>
      <c r="X11" s="59"/>
      <c r="Y11" s="42" t="s">
        <v>183</v>
      </c>
      <c r="Z11" s="61">
        <f t="shared" si="4"/>
        <v>13.2539654564681</v>
      </c>
      <c r="AA11" s="60" t="s">
        <v>174</v>
      </c>
      <c r="AB11" s="61">
        <f t="shared" si="2"/>
        <v>10.662904636920384</v>
      </c>
      <c r="AC11" s="61">
        <f t="shared" si="2"/>
        <v>10.386291739894553</v>
      </c>
      <c r="AD11" s="61">
        <f t="shared" si="2"/>
        <v>10.207666608053454</v>
      </c>
      <c r="AE11" s="61">
        <f t="shared" si="2"/>
        <v>10.756768635724331</v>
      </c>
      <c r="AF11" s="61">
        <f t="shared" si="2"/>
        <v>11.005006587615282</v>
      </c>
      <c r="AG11" s="61">
        <f t="shared" si="2"/>
        <v>10.816959578207381</v>
      </c>
      <c r="AH11" s="61">
        <f t="shared" si="2"/>
        <v>9.914623069936422</v>
      </c>
      <c r="AI11" s="61">
        <f t="shared" si="3"/>
        <v>8.895000455331937</v>
      </c>
    </row>
    <row r="12" spans="2:35" ht="11.25">
      <c r="B12" s="42" t="s">
        <v>184</v>
      </c>
      <c r="C12" s="56">
        <v>3660</v>
      </c>
      <c r="D12" s="56">
        <v>3661</v>
      </c>
      <c r="E12" s="56">
        <v>3661</v>
      </c>
      <c r="F12" s="56">
        <v>3661</v>
      </c>
      <c r="G12" s="56">
        <v>3661</v>
      </c>
      <c r="H12" s="56">
        <v>3665</v>
      </c>
      <c r="I12" s="56">
        <v>3673</v>
      </c>
      <c r="J12" s="56">
        <v>3673</v>
      </c>
      <c r="K12" s="56">
        <v>3665</v>
      </c>
      <c r="L12" s="56">
        <v>3665</v>
      </c>
      <c r="M12" s="42" t="s">
        <v>184</v>
      </c>
      <c r="N12" s="57"/>
      <c r="O12" s="58"/>
      <c r="P12" s="58">
        <v>64602</v>
      </c>
      <c r="Q12" s="58">
        <v>60284</v>
      </c>
      <c r="R12" s="58">
        <v>63866</v>
      </c>
      <c r="S12" s="58">
        <v>64115</v>
      </c>
      <c r="T12" s="58">
        <v>60320</v>
      </c>
      <c r="U12" s="58">
        <v>62165</v>
      </c>
      <c r="V12" s="58">
        <v>59169</v>
      </c>
      <c r="W12" s="58">
        <v>56212</v>
      </c>
      <c r="X12" s="59"/>
      <c r="Y12" s="42" t="s">
        <v>184</v>
      </c>
      <c r="Z12" s="61">
        <f t="shared" si="4"/>
        <v>0</v>
      </c>
      <c r="AA12" s="60" t="s">
        <v>174</v>
      </c>
      <c r="AB12" s="61">
        <f t="shared" si="2"/>
        <v>17.645998361103523</v>
      </c>
      <c r="AC12" s="61">
        <f t="shared" si="2"/>
        <v>16.466539196940726</v>
      </c>
      <c r="AD12" s="61">
        <f t="shared" si="2"/>
        <v>17.444960393335155</v>
      </c>
      <c r="AE12" s="61">
        <f t="shared" si="2"/>
        <v>17.493860845839016</v>
      </c>
      <c r="AF12" s="61">
        <f t="shared" si="2"/>
        <v>16.422542880479174</v>
      </c>
      <c r="AG12" s="61">
        <f t="shared" si="2"/>
        <v>16.924857065069425</v>
      </c>
      <c r="AH12" s="61">
        <f t="shared" si="2"/>
        <v>16.144338335607095</v>
      </c>
      <c r="AI12" s="61">
        <f t="shared" si="3"/>
        <v>15.337517053206003</v>
      </c>
    </row>
    <row r="13" spans="2:35" ht="11.25">
      <c r="B13" s="42" t="s">
        <v>185</v>
      </c>
      <c r="C13" s="56">
        <v>1196</v>
      </c>
      <c r="D13" s="56">
        <v>1201</v>
      </c>
      <c r="E13" s="56">
        <v>1201</v>
      </c>
      <c r="F13" s="56">
        <v>1201</v>
      </c>
      <c r="G13" s="56">
        <v>1201</v>
      </c>
      <c r="H13" s="56">
        <v>1201</v>
      </c>
      <c r="I13" s="56">
        <v>1201</v>
      </c>
      <c r="J13" s="56">
        <v>1201</v>
      </c>
      <c r="K13" s="56">
        <v>1201</v>
      </c>
      <c r="L13" s="56">
        <v>1206</v>
      </c>
      <c r="M13" s="42" t="s">
        <v>185</v>
      </c>
      <c r="N13" s="57">
        <v>22968</v>
      </c>
      <c r="O13" s="58">
        <v>19882</v>
      </c>
      <c r="P13" s="58">
        <v>17272</v>
      </c>
      <c r="Q13" s="58">
        <v>17182</v>
      </c>
      <c r="R13" s="58">
        <v>18594</v>
      </c>
      <c r="S13" s="58">
        <v>19083</v>
      </c>
      <c r="T13" s="58">
        <v>18343</v>
      </c>
      <c r="U13" s="58">
        <v>18332</v>
      </c>
      <c r="V13" s="58">
        <v>18071</v>
      </c>
      <c r="W13" s="58">
        <v>18131</v>
      </c>
      <c r="X13" s="59"/>
      <c r="Y13" s="42" t="s">
        <v>185</v>
      </c>
      <c r="Z13" s="61">
        <f t="shared" si="4"/>
        <v>19.204013377926422</v>
      </c>
      <c r="AA13" s="61">
        <f>O13/D13</f>
        <v>16.554537885095755</v>
      </c>
      <c r="AB13" s="61">
        <f t="shared" si="2"/>
        <v>14.38134887593672</v>
      </c>
      <c r="AC13" s="61">
        <f t="shared" si="2"/>
        <v>14.306411323896752</v>
      </c>
      <c r="AD13" s="61">
        <f t="shared" si="2"/>
        <v>15.482098251457119</v>
      </c>
      <c r="AE13" s="61">
        <f t="shared" si="2"/>
        <v>15.889258950874272</v>
      </c>
      <c r="AF13" s="61">
        <f t="shared" si="2"/>
        <v>15.273105745212323</v>
      </c>
      <c r="AG13" s="61">
        <f t="shared" si="2"/>
        <v>15.263946711074105</v>
      </c>
      <c r="AH13" s="61">
        <f t="shared" si="2"/>
        <v>15.046627810158201</v>
      </c>
      <c r="AI13" s="61">
        <f t="shared" si="3"/>
        <v>15.033996683250415</v>
      </c>
    </row>
    <row r="14" spans="2:35" ht="11.25">
      <c r="B14" s="42"/>
      <c r="C14" s="63"/>
      <c r="D14" s="63"/>
      <c r="E14" s="63"/>
      <c r="F14" s="63"/>
      <c r="G14" s="63"/>
      <c r="H14" s="63"/>
      <c r="I14" s="63"/>
      <c r="J14" s="63"/>
      <c r="K14" s="63"/>
      <c r="L14" s="63"/>
      <c r="M14" s="42"/>
      <c r="N14" s="64"/>
      <c r="O14" s="59"/>
      <c r="P14" s="59"/>
      <c r="Q14" s="59"/>
      <c r="R14" s="59"/>
      <c r="S14" s="59"/>
      <c r="T14" s="59"/>
      <c r="U14" s="59"/>
      <c r="V14" s="59"/>
      <c r="W14" s="59"/>
      <c r="X14" s="59"/>
      <c r="Y14" s="42"/>
      <c r="Z14" s="65"/>
      <c r="AA14" s="65"/>
      <c r="AB14" s="65"/>
      <c r="AC14" s="65"/>
      <c r="AD14" s="65"/>
      <c r="AE14" s="65"/>
      <c r="AF14" s="65"/>
      <c r="AG14" s="65"/>
      <c r="AH14" s="65"/>
      <c r="AI14" s="65"/>
    </row>
    <row r="15" spans="2:35" ht="11.25">
      <c r="B15" s="42" t="s">
        <v>186</v>
      </c>
      <c r="C15" s="66" t="s">
        <v>86</v>
      </c>
      <c r="D15" s="45">
        <f aca="true" t="shared" si="5" ref="D15:L15">SUM(D4:D13)</f>
        <v>69024</v>
      </c>
      <c r="E15" s="45">
        <f t="shared" si="5"/>
        <v>68417.2</v>
      </c>
      <c r="F15" s="45">
        <f t="shared" si="5"/>
        <v>68050.8</v>
      </c>
      <c r="G15" s="45">
        <f t="shared" si="5"/>
        <v>67371.8</v>
      </c>
      <c r="H15" s="45">
        <f t="shared" si="5"/>
        <v>66913.5</v>
      </c>
      <c r="I15" s="45">
        <f t="shared" si="5"/>
        <v>66334.5</v>
      </c>
      <c r="J15" s="45">
        <f t="shared" si="5"/>
        <v>66371</v>
      </c>
      <c r="K15" s="45">
        <f t="shared" si="5"/>
        <v>65828</v>
      </c>
      <c r="L15" s="45">
        <f t="shared" si="5"/>
        <v>65415</v>
      </c>
      <c r="M15" s="42" t="s">
        <v>186</v>
      </c>
      <c r="N15" s="49"/>
      <c r="O15" s="49"/>
      <c r="P15" s="49"/>
      <c r="Q15" s="49">
        <f aca="true" t="shared" si="6" ref="Q15:V15">SUM(Q4:Q13)</f>
        <v>826640</v>
      </c>
      <c r="R15" s="49">
        <f t="shared" si="6"/>
        <v>840361</v>
      </c>
      <c r="S15" s="49">
        <f t="shared" si="6"/>
        <v>850463</v>
      </c>
      <c r="T15" s="49">
        <f t="shared" si="6"/>
        <v>833503</v>
      </c>
      <c r="U15" s="49">
        <f t="shared" si="6"/>
        <v>834323</v>
      </c>
      <c r="V15" s="49">
        <f t="shared" si="6"/>
        <v>795750</v>
      </c>
      <c r="W15" s="49"/>
      <c r="Y15" s="67" t="s">
        <v>186</v>
      </c>
      <c r="Z15" s="60" t="s">
        <v>174</v>
      </c>
      <c r="AA15" s="60" t="s">
        <v>174</v>
      </c>
      <c r="AB15" s="60" t="s">
        <v>174</v>
      </c>
      <c r="AC15" s="61">
        <f aca="true" t="shared" si="7" ref="AC15:AH15">Q15/F15</f>
        <v>12.147395769043126</v>
      </c>
      <c r="AD15" s="61">
        <f t="shared" si="7"/>
        <v>12.473482970619754</v>
      </c>
      <c r="AE15" s="61">
        <f t="shared" si="7"/>
        <v>12.709886644698006</v>
      </c>
      <c r="AF15" s="61">
        <f t="shared" si="7"/>
        <v>12.565150864180781</v>
      </c>
      <c r="AG15" s="61">
        <f t="shared" si="7"/>
        <v>12.570595591448072</v>
      </c>
      <c r="AH15" s="61">
        <f t="shared" si="7"/>
        <v>12.088321079176035</v>
      </c>
      <c r="AI15" s="60" t="s">
        <v>174</v>
      </c>
    </row>
    <row r="17" spans="1:35" ht="11.25">
      <c r="A17" s="45" t="s">
        <v>187</v>
      </c>
      <c r="B17" s="42" t="s">
        <v>188</v>
      </c>
      <c r="C17" s="56">
        <v>5624</v>
      </c>
      <c r="D17" s="56">
        <v>5624</v>
      </c>
      <c r="E17" s="56">
        <v>5605</v>
      </c>
      <c r="F17" s="56">
        <v>5600</v>
      </c>
      <c r="G17" s="56">
        <v>5636</v>
      </c>
      <c r="H17" s="56">
        <v>5672</v>
      </c>
      <c r="I17" s="56">
        <v>5672</v>
      </c>
      <c r="J17" s="56">
        <v>5672</v>
      </c>
      <c r="K17" s="56">
        <v>5643</v>
      </c>
      <c r="L17" s="56">
        <v>5740</v>
      </c>
      <c r="M17" s="42" t="s">
        <v>188</v>
      </c>
      <c r="N17" s="57">
        <v>115218</v>
      </c>
      <c r="O17" s="58">
        <v>128931</v>
      </c>
      <c r="P17" s="58">
        <v>138769</v>
      </c>
      <c r="Q17" s="58">
        <v>138700</v>
      </c>
      <c r="R17" s="58">
        <v>135897</v>
      </c>
      <c r="S17" s="58">
        <v>131097</v>
      </c>
      <c r="T17" s="58">
        <v>122836</v>
      </c>
      <c r="U17" s="58">
        <v>127533</v>
      </c>
      <c r="V17" s="58">
        <v>140025</v>
      </c>
      <c r="W17" s="58">
        <v>95702</v>
      </c>
      <c r="X17" s="59"/>
      <c r="Y17" s="42" t="s">
        <v>188</v>
      </c>
      <c r="Z17" s="61">
        <f aca="true" t="shared" si="8" ref="Z17:AI20">N17/C17</f>
        <v>20.486842105263158</v>
      </c>
      <c r="AA17" s="61">
        <f t="shared" si="8"/>
        <v>22.925142247510667</v>
      </c>
      <c r="AB17" s="61">
        <f t="shared" si="8"/>
        <v>24.75807314897413</v>
      </c>
      <c r="AC17" s="61">
        <f t="shared" si="8"/>
        <v>24.767857142857142</v>
      </c>
      <c r="AD17" s="61">
        <f t="shared" si="8"/>
        <v>24.112313697657914</v>
      </c>
      <c r="AE17" s="61">
        <f t="shared" si="8"/>
        <v>23.113011283497883</v>
      </c>
      <c r="AF17" s="61">
        <f t="shared" si="8"/>
        <v>21.656558533145276</v>
      </c>
      <c r="AG17" s="61">
        <f t="shared" si="8"/>
        <v>22.48466149506347</v>
      </c>
      <c r="AH17" s="61">
        <f t="shared" si="8"/>
        <v>24.81392876129718</v>
      </c>
      <c r="AI17" s="61">
        <f t="shared" si="8"/>
        <v>16.672822299651568</v>
      </c>
    </row>
    <row r="18" spans="2:35" ht="11.25">
      <c r="B18" s="42" t="s">
        <v>189</v>
      </c>
      <c r="C18" s="56">
        <v>3479</v>
      </c>
      <c r="D18" s="56">
        <v>3466</v>
      </c>
      <c r="E18" s="56">
        <v>3432</v>
      </c>
      <c r="F18" s="56">
        <v>3410</v>
      </c>
      <c r="G18" s="56">
        <v>3396</v>
      </c>
      <c r="H18" s="56">
        <v>3368</v>
      </c>
      <c r="I18" s="56">
        <v>3380</v>
      </c>
      <c r="J18" s="56">
        <v>3422</v>
      </c>
      <c r="K18" s="56">
        <v>3470</v>
      </c>
      <c r="L18" s="56">
        <v>3472</v>
      </c>
      <c r="M18" s="42" t="s">
        <v>189</v>
      </c>
      <c r="N18" s="57">
        <v>92110</v>
      </c>
      <c r="O18" s="58">
        <v>93027</v>
      </c>
      <c r="P18" s="58">
        <v>93477</v>
      </c>
      <c r="Q18" s="58">
        <v>91825</v>
      </c>
      <c r="R18" s="58">
        <v>90930</v>
      </c>
      <c r="S18" s="58">
        <v>88762</v>
      </c>
      <c r="T18" s="58">
        <v>90751</v>
      </c>
      <c r="U18" s="58">
        <v>91036</v>
      </c>
      <c r="V18" s="58">
        <v>94193</v>
      </c>
      <c r="W18" s="58">
        <v>941718</v>
      </c>
      <c r="X18" s="59"/>
      <c r="Y18" s="42" t="s">
        <v>189</v>
      </c>
      <c r="Z18" s="61">
        <f t="shared" si="8"/>
        <v>26.475998850244324</v>
      </c>
      <c r="AA18" s="61">
        <f t="shared" si="8"/>
        <v>26.839873052510097</v>
      </c>
      <c r="AB18" s="61">
        <f t="shared" si="8"/>
        <v>27.236888111888113</v>
      </c>
      <c r="AC18" s="61">
        <f t="shared" si="8"/>
        <v>26.928152492668623</v>
      </c>
      <c r="AD18" s="61">
        <f t="shared" si="8"/>
        <v>26.775618374558302</v>
      </c>
      <c r="AE18" s="61">
        <f t="shared" si="8"/>
        <v>26.354513064133016</v>
      </c>
      <c r="AF18" s="61">
        <f t="shared" si="8"/>
        <v>26.849408284023667</v>
      </c>
      <c r="AG18" s="61">
        <f t="shared" si="8"/>
        <v>26.603156049094096</v>
      </c>
      <c r="AH18" s="61">
        <f t="shared" si="8"/>
        <v>27.144956772334293</v>
      </c>
      <c r="AI18" s="61">
        <f t="shared" si="8"/>
        <v>271.23214285714283</v>
      </c>
    </row>
    <row r="19" spans="2:35" ht="11.25">
      <c r="B19" s="42" t="s">
        <v>190</v>
      </c>
      <c r="C19" s="56">
        <v>2344</v>
      </c>
      <c r="D19" s="56">
        <v>2344</v>
      </c>
      <c r="E19" s="56">
        <v>2344</v>
      </c>
      <c r="F19" s="56">
        <v>2349</v>
      </c>
      <c r="G19" s="56">
        <v>2349</v>
      </c>
      <c r="H19" s="56">
        <v>2349</v>
      </c>
      <c r="I19" s="56">
        <v>2349</v>
      </c>
      <c r="J19" s="56">
        <v>2248</v>
      </c>
      <c r="K19" s="56">
        <v>2264</v>
      </c>
      <c r="L19" s="56">
        <v>2324</v>
      </c>
      <c r="M19" s="42" t="s">
        <v>190</v>
      </c>
      <c r="N19" s="57">
        <v>52160</v>
      </c>
      <c r="O19" s="58">
        <v>56240</v>
      </c>
      <c r="P19" s="58">
        <v>57881</v>
      </c>
      <c r="Q19" s="58">
        <v>56863</v>
      </c>
      <c r="R19" s="58">
        <v>57410</v>
      </c>
      <c r="S19" s="58">
        <v>59883</v>
      </c>
      <c r="T19" s="58">
        <v>57794</v>
      </c>
      <c r="U19" s="58">
        <v>59741</v>
      </c>
      <c r="V19" s="58">
        <v>62815</v>
      </c>
      <c r="W19" s="58">
        <v>175543</v>
      </c>
      <c r="X19" s="59"/>
      <c r="Y19" s="42" t="s">
        <v>190</v>
      </c>
      <c r="Z19" s="61">
        <f t="shared" si="8"/>
        <v>22.252559726962456</v>
      </c>
      <c r="AA19" s="61">
        <f t="shared" si="8"/>
        <v>23.993174061433447</v>
      </c>
      <c r="AB19" s="61">
        <f t="shared" si="8"/>
        <v>24.693259385665527</v>
      </c>
      <c r="AC19" s="61">
        <f t="shared" si="8"/>
        <v>24.20732226479353</v>
      </c>
      <c r="AD19" s="61">
        <f t="shared" si="8"/>
        <v>24.44018731375053</v>
      </c>
      <c r="AE19" s="61">
        <f t="shared" si="8"/>
        <v>25.492975734355046</v>
      </c>
      <c r="AF19" s="61">
        <f t="shared" si="8"/>
        <v>24.603661132396766</v>
      </c>
      <c r="AG19" s="61">
        <f t="shared" si="8"/>
        <v>26.57517793594306</v>
      </c>
      <c r="AH19" s="61">
        <f t="shared" si="8"/>
        <v>27.745141342756185</v>
      </c>
      <c r="AI19" s="61">
        <f t="shared" si="8"/>
        <v>75.53485370051635</v>
      </c>
    </row>
    <row r="20" spans="2:35" ht="11.25">
      <c r="B20" s="42" t="s">
        <v>191</v>
      </c>
      <c r="C20" s="56">
        <v>5873</v>
      </c>
      <c r="D20" s="56">
        <v>5874</v>
      </c>
      <c r="E20" s="56">
        <v>5874</v>
      </c>
      <c r="F20" s="56">
        <v>5864</v>
      </c>
      <c r="G20" s="56">
        <v>5859</v>
      </c>
      <c r="H20" s="56">
        <v>5859</v>
      </c>
      <c r="I20" s="56">
        <v>5860</v>
      </c>
      <c r="J20" s="56">
        <v>5865</v>
      </c>
      <c r="K20" s="56">
        <v>5867</v>
      </c>
      <c r="L20" s="56">
        <v>5836</v>
      </c>
      <c r="M20" s="42" t="s">
        <v>191</v>
      </c>
      <c r="N20" s="57">
        <v>41038</v>
      </c>
      <c r="O20" s="58">
        <v>40114</v>
      </c>
      <c r="P20" s="58">
        <v>40197</v>
      </c>
      <c r="Q20" s="58">
        <v>40876</v>
      </c>
      <c r="R20" s="58">
        <v>41344</v>
      </c>
      <c r="S20" s="58">
        <v>40973</v>
      </c>
      <c r="T20" s="58">
        <v>40621</v>
      </c>
      <c r="U20" s="58">
        <v>44137</v>
      </c>
      <c r="V20" s="58">
        <v>44481</v>
      </c>
      <c r="W20" s="58">
        <v>520735</v>
      </c>
      <c r="X20" s="59"/>
      <c r="Y20" s="42" t="s">
        <v>191</v>
      </c>
      <c r="Z20" s="61">
        <f t="shared" si="8"/>
        <v>6.987570236676316</v>
      </c>
      <c r="AA20" s="61">
        <f t="shared" si="8"/>
        <v>6.829077289751447</v>
      </c>
      <c r="AB20" s="61">
        <f t="shared" si="8"/>
        <v>6.84320735444331</v>
      </c>
      <c r="AC20" s="61">
        <f t="shared" si="8"/>
        <v>6.970668485675307</v>
      </c>
      <c r="AD20" s="61">
        <f t="shared" si="8"/>
        <v>7.056494282300734</v>
      </c>
      <c r="AE20" s="61">
        <f t="shared" si="8"/>
        <v>6.993172896398703</v>
      </c>
      <c r="AF20" s="61">
        <f t="shared" si="8"/>
        <v>6.931911262798635</v>
      </c>
      <c r="AG20" s="61">
        <f t="shared" si="8"/>
        <v>7.525490196078431</v>
      </c>
      <c r="AH20" s="61">
        <f t="shared" si="8"/>
        <v>7.581557866030339</v>
      </c>
      <c r="AI20" s="61">
        <f t="shared" si="8"/>
        <v>89.22806716929404</v>
      </c>
    </row>
    <row r="21" spans="2:35" ht="11.25">
      <c r="B21" s="42" t="s">
        <v>192</v>
      </c>
      <c r="C21" s="56">
        <v>34070</v>
      </c>
      <c r="D21" s="56">
        <v>33446</v>
      </c>
      <c r="E21" s="56">
        <v>32731</v>
      </c>
      <c r="F21" s="56">
        <v>32579</v>
      </c>
      <c r="G21" s="56">
        <v>32275</v>
      </c>
      <c r="H21" s="56">
        <v>31939</v>
      </c>
      <c r="I21" s="56">
        <v>31852</v>
      </c>
      <c r="J21" s="56">
        <v>31821</v>
      </c>
      <c r="K21" s="56">
        <v>31770</v>
      </c>
      <c r="L21" s="56">
        <v>31735</v>
      </c>
      <c r="M21" s="42" t="s">
        <v>192</v>
      </c>
      <c r="N21" s="57">
        <v>487670</v>
      </c>
      <c r="O21" s="58">
        <v>484373</v>
      </c>
      <c r="P21" s="58">
        <v>485396</v>
      </c>
      <c r="Q21" s="58">
        <v>472448</v>
      </c>
      <c r="R21" s="58">
        <v>478474</v>
      </c>
      <c r="S21" s="58">
        <v>455032</v>
      </c>
      <c r="T21" s="58">
        <v>498451</v>
      </c>
      <c r="U21" s="58">
        <v>507128</v>
      </c>
      <c r="V21" s="58">
        <v>507194</v>
      </c>
      <c r="W21" s="58"/>
      <c r="X21" s="59"/>
      <c r="Y21" s="42" t="s">
        <v>192</v>
      </c>
      <c r="Z21" s="61">
        <f aca="true" t="shared" si="9" ref="Z21:AH21">N21/C21</f>
        <v>14.313765776342823</v>
      </c>
      <c r="AA21" s="61">
        <f t="shared" si="9"/>
        <v>14.482240028702984</v>
      </c>
      <c r="AB21" s="61">
        <f t="shared" si="9"/>
        <v>14.829855488680456</v>
      </c>
      <c r="AC21" s="61">
        <f t="shared" si="9"/>
        <v>14.501611467509745</v>
      </c>
      <c r="AD21" s="61">
        <f t="shared" si="9"/>
        <v>14.824910921766072</v>
      </c>
      <c r="AE21" s="61">
        <f t="shared" si="9"/>
        <v>14.246908168696578</v>
      </c>
      <c r="AF21" s="61">
        <f t="shared" si="9"/>
        <v>15.648970237347733</v>
      </c>
      <c r="AG21" s="61">
        <f t="shared" si="9"/>
        <v>15.936897017692718</v>
      </c>
      <c r="AH21" s="61">
        <f t="shared" si="9"/>
        <v>15.964557758892036</v>
      </c>
      <c r="AI21" s="60" t="s">
        <v>174</v>
      </c>
    </row>
    <row r="22" spans="2:35" ht="11.25">
      <c r="B22" s="42" t="s">
        <v>193</v>
      </c>
      <c r="C22" s="56" t="s">
        <v>86</v>
      </c>
      <c r="D22" s="56">
        <v>41113</v>
      </c>
      <c r="E22" s="56">
        <v>40815</v>
      </c>
      <c r="F22" s="56">
        <v>40397</v>
      </c>
      <c r="G22" s="56">
        <v>41257</v>
      </c>
      <c r="H22" s="56">
        <v>41718</v>
      </c>
      <c r="I22" s="56">
        <v>40826</v>
      </c>
      <c r="J22" s="56">
        <v>38385</v>
      </c>
      <c r="K22" s="56">
        <v>38126</v>
      </c>
      <c r="L22" s="56">
        <v>37526</v>
      </c>
      <c r="M22" s="42" t="s">
        <v>193</v>
      </c>
      <c r="N22" s="49"/>
      <c r="O22" s="49"/>
      <c r="P22" s="49"/>
      <c r="Q22" s="58">
        <v>871441</v>
      </c>
      <c r="R22" s="58">
        <v>878544</v>
      </c>
      <c r="S22" s="58">
        <v>870866</v>
      </c>
      <c r="T22" s="58">
        <v>867863</v>
      </c>
      <c r="U22" s="58">
        <v>838009</v>
      </c>
      <c r="V22" s="58">
        <v>872398</v>
      </c>
      <c r="W22" s="58">
        <v>60808</v>
      </c>
      <c r="X22" s="59"/>
      <c r="Y22" s="42" t="s">
        <v>193</v>
      </c>
      <c r="Z22" s="60" t="s">
        <v>174</v>
      </c>
      <c r="AA22" s="60" t="s">
        <v>174</v>
      </c>
      <c r="AB22" s="60" t="s">
        <v>174</v>
      </c>
      <c r="AC22" s="61">
        <f aca="true" t="shared" si="10" ref="AC22:AI24">Q22/F22</f>
        <v>21.571923657697354</v>
      </c>
      <c r="AD22" s="61">
        <f t="shared" si="10"/>
        <v>21.29442276462176</v>
      </c>
      <c r="AE22" s="61">
        <f t="shared" si="10"/>
        <v>20.875065918788053</v>
      </c>
      <c r="AF22" s="61">
        <f t="shared" si="10"/>
        <v>21.25760544750894</v>
      </c>
      <c r="AG22" s="61">
        <f t="shared" si="10"/>
        <v>21.831679041292173</v>
      </c>
      <c r="AH22" s="61">
        <f t="shared" si="10"/>
        <v>22.881970308975504</v>
      </c>
      <c r="AI22" s="61">
        <f t="shared" si="10"/>
        <v>1.6204231732665353</v>
      </c>
    </row>
    <row r="23" spans="2:35" ht="11.25">
      <c r="B23" s="42" t="s">
        <v>194</v>
      </c>
      <c r="C23" s="56">
        <v>2484</v>
      </c>
      <c r="D23" s="56">
        <v>2484</v>
      </c>
      <c r="E23" s="56">
        <v>2484</v>
      </c>
      <c r="F23" s="56">
        <v>2474</v>
      </c>
      <c r="G23" s="56">
        <v>2474</v>
      </c>
      <c r="H23" s="56">
        <v>2474</v>
      </c>
      <c r="I23" s="56">
        <v>2474</v>
      </c>
      <c r="J23" s="56">
        <v>2503</v>
      </c>
      <c r="K23" s="56">
        <v>2299</v>
      </c>
      <c r="L23" s="56">
        <v>2299</v>
      </c>
      <c r="M23" s="42" t="s">
        <v>194</v>
      </c>
      <c r="N23" s="57"/>
      <c r="O23" s="58">
        <v>16236</v>
      </c>
      <c r="P23" s="58">
        <v>15489</v>
      </c>
      <c r="Q23" s="58">
        <v>16441</v>
      </c>
      <c r="R23" s="58">
        <v>17071</v>
      </c>
      <c r="S23" s="58">
        <v>18215</v>
      </c>
      <c r="T23" s="58">
        <v>19235</v>
      </c>
      <c r="U23" s="58">
        <v>18514</v>
      </c>
      <c r="V23" s="58">
        <v>16669</v>
      </c>
      <c r="W23" s="58">
        <v>15199</v>
      </c>
      <c r="X23" s="59"/>
      <c r="Y23" s="42" t="s">
        <v>194</v>
      </c>
      <c r="Z23" s="60" t="s">
        <v>174</v>
      </c>
      <c r="AA23" s="61">
        <f aca="true" t="shared" si="11" ref="AA23:AA31">O23/D23</f>
        <v>6.536231884057971</v>
      </c>
      <c r="AB23" s="61">
        <f aca="true" t="shared" si="12" ref="AB23:AB31">P23/E23</f>
        <v>6.2355072463768115</v>
      </c>
      <c r="AC23" s="61">
        <f t="shared" si="10"/>
        <v>6.645513338722716</v>
      </c>
      <c r="AD23" s="61">
        <f t="shared" si="10"/>
        <v>6.90016168148747</v>
      </c>
      <c r="AE23" s="61">
        <f t="shared" si="10"/>
        <v>7.362570735650768</v>
      </c>
      <c r="AF23" s="61">
        <f t="shared" si="10"/>
        <v>7.774858528698464</v>
      </c>
      <c r="AG23" s="61">
        <f t="shared" si="10"/>
        <v>7.396723931282461</v>
      </c>
      <c r="AH23" s="61">
        <f t="shared" si="10"/>
        <v>7.250543714658547</v>
      </c>
      <c r="AI23" s="61">
        <f t="shared" si="10"/>
        <v>6.6111352762070466</v>
      </c>
    </row>
    <row r="24" spans="2:35" ht="11.25">
      <c r="B24" s="42" t="s">
        <v>195</v>
      </c>
      <c r="C24" s="56">
        <v>1944</v>
      </c>
      <c r="D24" s="56">
        <v>1944</v>
      </c>
      <c r="E24" s="56">
        <v>1944</v>
      </c>
      <c r="F24" s="56">
        <v>1947</v>
      </c>
      <c r="G24" s="56">
        <v>1947</v>
      </c>
      <c r="H24" s="56">
        <v>1945</v>
      </c>
      <c r="I24" s="56">
        <v>1954</v>
      </c>
      <c r="J24" s="56">
        <v>1908</v>
      </c>
      <c r="K24" s="56">
        <v>1909</v>
      </c>
      <c r="L24" s="56">
        <v>1919</v>
      </c>
      <c r="M24" s="42" t="s">
        <v>195</v>
      </c>
      <c r="N24" s="57">
        <v>14237</v>
      </c>
      <c r="O24" s="58"/>
      <c r="P24" s="58">
        <v>13861</v>
      </c>
      <c r="Q24" s="58">
        <v>13767</v>
      </c>
      <c r="R24" s="58">
        <v>13709</v>
      </c>
      <c r="S24" s="58">
        <v>14383</v>
      </c>
      <c r="T24" s="58">
        <v>15388</v>
      </c>
      <c r="U24" s="58">
        <v>15314</v>
      </c>
      <c r="V24" s="58">
        <v>15466</v>
      </c>
      <c r="W24" s="58">
        <v>329883</v>
      </c>
      <c r="X24" s="59"/>
      <c r="Y24" s="42" t="s">
        <v>195</v>
      </c>
      <c r="Z24" s="61">
        <f aca="true" t="shared" si="13" ref="Z24:Z30">N24/C24</f>
        <v>7.323559670781893</v>
      </c>
      <c r="AA24" s="61">
        <f t="shared" si="11"/>
        <v>0</v>
      </c>
      <c r="AB24" s="61">
        <f t="shared" si="12"/>
        <v>7.130144032921811</v>
      </c>
      <c r="AC24" s="61">
        <f t="shared" si="10"/>
        <v>7.070878274268105</v>
      </c>
      <c r="AD24" s="61">
        <f t="shared" si="10"/>
        <v>7.0410888546481765</v>
      </c>
      <c r="AE24" s="61">
        <f t="shared" si="10"/>
        <v>7.394858611825192</v>
      </c>
      <c r="AF24" s="61">
        <f t="shared" si="10"/>
        <v>7.8751279426816785</v>
      </c>
      <c r="AG24" s="61">
        <f t="shared" si="10"/>
        <v>8.026205450733753</v>
      </c>
      <c r="AH24" s="61">
        <f t="shared" si="10"/>
        <v>8.101623886851755</v>
      </c>
      <c r="AI24" s="61">
        <f t="shared" si="10"/>
        <v>171.90359562272016</v>
      </c>
    </row>
    <row r="25" spans="2:35" ht="11.25">
      <c r="B25" s="42" t="s">
        <v>196</v>
      </c>
      <c r="C25" s="56">
        <v>16086</v>
      </c>
      <c r="D25" s="56">
        <v>16066</v>
      </c>
      <c r="E25" s="56">
        <v>16112</v>
      </c>
      <c r="F25" s="56">
        <v>15942</v>
      </c>
      <c r="G25" s="56">
        <v>16002</v>
      </c>
      <c r="H25" s="56">
        <v>16005</v>
      </c>
      <c r="I25" s="56">
        <v>16014</v>
      </c>
      <c r="J25" s="56">
        <v>16030</v>
      </c>
      <c r="K25" s="56">
        <v>16080</v>
      </c>
      <c r="L25" s="56">
        <v>16108</v>
      </c>
      <c r="M25" s="42" t="s">
        <v>196</v>
      </c>
      <c r="N25" s="57">
        <v>302226</v>
      </c>
      <c r="O25" s="58">
        <v>316407</v>
      </c>
      <c r="P25" s="58">
        <v>319400</v>
      </c>
      <c r="Q25" s="58">
        <v>312433</v>
      </c>
      <c r="R25" s="58">
        <v>323189</v>
      </c>
      <c r="S25" s="58">
        <v>344400</v>
      </c>
      <c r="T25" s="58">
        <v>345774</v>
      </c>
      <c r="U25" s="58">
        <v>345511</v>
      </c>
      <c r="V25" s="58">
        <v>341299</v>
      </c>
      <c r="W25" s="58"/>
      <c r="X25" s="59"/>
      <c r="Y25" s="42" t="s">
        <v>196</v>
      </c>
      <c r="Z25" s="61">
        <f t="shared" si="13"/>
        <v>18.788138754196197</v>
      </c>
      <c r="AA25" s="61">
        <f t="shared" si="11"/>
        <v>19.694198929416157</v>
      </c>
      <c r="AB25" s="61">
        <f t="shared" si="12"/>
        <v>19.823733862959283</v>
      </c>
      <c r="AC25" s="61">
        <f aca="true" t="shared" si="14" ref="AC25:AH30">Q25/F25</f>
        <v>19.59810563291933</v>
      </c>
      <c r="AD25" s="61">
        <f t="shared" si="14"/>
        <v>20.196787901512312</v>
      </c>
      <c r="AE25" s="61">
        <f t="shared" si="14"/>
        <v>21.518275538894095</v>
      </c>
      <c r="AF25" s="61">
        <f t="shared" si="14"/>
        <v>21.59198201573623</v>
      </c>
      <c r="AG25" s="61">
        <f t="shared" si="14"/>
        <v>21.55402370555209</v>
      </c>
      <c r="AH25" s="61">
        <f t="shared" si="14"/>
        <v>21.225062189054725</v>
      </c>
      <c r="AI25" s="60" t="s">
        <v>174</v>
      </c>
    </row>
    <row r="26" spans="2:35" ht="11.25">
      <c r="B26" s="42" t="s">
        <v>197</v>
      </c>
      <c r="C26" s="56">
        <v>271</v>
      </c>
      <c r="D26" s="56">
        <v>271</v>
      </c>
      <c r="E26" s="56">
        <v>275</v>
      </c>
      <c r="F26" s="56">
        <v>275</v>
      </c>
      <c r="G26" s="56">
        <v>275</v>
      </c>
      <c r="H26" s="56">
        <v>275</v>
      </c>
      <c r="I26" s="56">
        <v>274</v>
      </c>
      <c r="J26" s="56">
        <v>274</v>
      </c>
      <c r="K26" s="56">
        <v>274</v>
      </c>
      <c r="L26" s="56">
        <v>274</v>
      </c>
      <c r="M26" s="42" t="s">
        <v>197</v>
      </c>
      <c r="N26" s="57">
        <v>4903</v>
      </c>
      <c r="O26" s="58">
        <v>6370</v>
      </c>
      <c r="P26" s="58">
        <v>6346</v>
      </c>
      <c r="Q26" s="58">
        <v>6981</v>
      </c>
      <c r="R26" s="58">
        <v>7233</v>
      </c>
      <c r="S26" s="58">
        <v>7208</v>
      </c>
      <c r="T26" s="58">
        <v>7282</v>
      </c>
      <c r="U26" s="58">
        <v>7140</v>
      </c>
      <c r="V26" s="58">
        <v>7308</v>
      </c>
      <c r="W26" s="58"/>
      <c r="X26" s="59"/>
      <c r="Y26" s="42" t="s">
        <v>197</v>
      </c>
      <c r="Z26" s="61">
        <f t="shared" si="13"/>
        <v>18.092250922509226</v>
      </c>
      <c r="AA26" s="61">
        <f t="shared" si="11"/>
        <v>23.505535055350553</v>
      </c>
      <c r="AB26" s="61">
        <f t="shared" si="12"/>
        <v>23.076363636363638</v>
      </c>
      <c r="AC26" s="61">
        <f t="shared" si="14"/>
        <v>25.385454545454547</v>
      </c>
      <c r="AD26" s="61">
        <f t="shared" si="14"/>
        <v>26.30181818181818</v>
      </c>
      <c r="AE26" s="61">
        <f t="shared" si="14"/>
        <v>26.21090909090909</v>
      </c>
      <c r="AF26" s="61">
        <f t="shared" si="14"/>
        <v>26.576642335766422</v>
      </c>
      <c r="AG26" s="61">
        <f t="shared" si="14"/>
        <v>26.05839416058394</v>
      </c>
      <c r="AH26" s="61">
        <f t="shared" si="14"/>
        <v>26.67153284671533</v>
      </c>
      <c r="AI26" s="60" t="s">
        <v>174</v>
      </c>
    </row>
    <row r="27" spans="2:35" ht="11.25">
      <c r="B27" s="42" t="s">
        <v>198</v>
      </c>
      <c r="C27" s="56">
        <v>2780</v>
      </c>
      <c r="D27" s="56">
        <v>2780</v>
      </c>
      <c r="E27" s="56">
        <v>2753</v>
      </c>
      <c r="F27" s="56">
        <v>2757</v>
      </c>
      <c r="G27" s="56">
        <v>2757</v>
      </c>
      <c r="H27" s="56">
        <v>2739</v>
      </c>
      <c r="I27" s="56">
        <v>2813</v>
      </c>
      <c r="J27" s="56">
        <v>2805</v>
      </c>
      <c r="K27" s="56">
        <v>2808</v>
      </c>
      <c r="L27" s="56">
        <v>2808</v>
      </c>
      <c r="M27" s="42" t="s">
        <v>198</v>
      </c>
      <c r="N27" s="57">
        <v>117314</v>
      </c>
      <c r="O27" s="58">
        <v>117856</v>
      </c>
      <c r="P27" s="58">
        <v>118484</v>
      </c>
      <c r="Q27" s="58">
        <v>122405</v>
      </c>
      <c r="R27" s="58">
        <v>117794</v>
      </c>
      <c r="S27" s="58">
        <v>119656</v>
      </c>
      <c r="T27" s="58">
        <v>119200</v>
      </c>
      <c r="U27" s="58">
        <v>121247</v>
      </c>
      <c r="V27" s="58">
        <v>121658</v>
      </c>
      <c r="W27" s="58">
        <v>35765</v>
      </c>
      <c r="X27" s="59"/>
      <c r="Y27" s="42" t="s">
        <v>198</v>
      </c>
      <c r="Z27" s="61">
        <f t="shared" si="13"/>
        <v>42.19928057553957</v>
      </c>
      <c r="AA27" s="61">
        <f t="shared" si="11"/>
        <v>42.39424460431655</v>
      </c>
      <c r="AB27" s="61">
        <f t="shared" si="12"/>
        <v>43.03814021067926</v>
      </c>
      <c r="AC27" s="61">
        <f t="shared" si="14"/>
        <v>44.397896264055134</v>
      </c>
      <c r="AD27" s="61">
        <f t="shared" si="14"/>
        <v>42.72542618788538</v>
      </c>
      <c r="AE27" s="61">
        <f t="shared" si="14"/>
        <v>43.68601679445053</v>
      </c>
      <c r="AF27" s="61">
        <f t="shared" si="14"/>
        <v>42.3746889441877</v>
      </c>
      <c r="AG27" s="61">
        <f t="shared" si="14"/>
        <v>43.225311942959</v>
      </c>
      <c r="AH27" s="61">
        <f t="shared" si="14"/>
        <v>43.32549857549858</v>
      </c>
      <c r="AI27" s="61">
        <f>W27/L27</f>
        <v>12.736823361823362</v>
      </c>
    </row>
    <row r="28" spans="2:35" ht="11.25">
      <c r="B28" s="42" t="s">
        <v>199</v>
      </c>
      <c r="C28" s="56">
        <v>3127</v>
      </c>
      <c r="D28" s="56">
        <v>3117</v>
      </c>
      <c r="E28" s="56">
        <v>3054</v>
      </c>
      <c r="F28" s="56">
        <v>3063</v>
      </c>
      <c r="G28" s="56">
        <v>3070</v>
      </c>
      <c r="H28" s="56">
        <v>3065</v>
      </c>
      <c r="I28" s="56">
        <v>3071</v>
      </c>
      <c r="J28" s="56">
        <v>3038</v>
      </c>
      <c r="K28" s="56">
        <v>2794</v>
      </c>
      <c r="L28" s="56">
        <v>2814</v>
      </c>
      <c r="M28" s="42" t="s">
        <v>199</v>
      </c>
      <c r="N28" s="57"/>
      <c r="O28" s="58">
        <v>43720</v>
      </c>
      <c r="P28" s="58">
        <v>43634</v>
      </c>
      <c r="Q28" s="58">
        <v>41582</v>
      </c>
      <c r="R28" s="58">
        <v>38677</v>
      </c>
      <c r="S28" s="58">
        <v>42285</v>
      </c>
      <c r="T28" s="58">
        <v>44112</v>
      </c>
      <c r="U28" s="58">
        <v>44268</v>
      </c>
      <c r="V28" s="58">
        <v>45961</v>
      </c>
      <c r="W28" s="58">
        <v>39164</v>
      </c>
      <c r="X28" s="59"/>
      <c r="Y28" s="42" t="s">
        <v>199</v>
      </c>
      <c r="Z28" s="61">
        <f t="shared" si="13"/>
        <v>0</v>
      </c>
      <c r="AA28" s="61">
        <f t="shared" si="11"/>
        <v>14.026307346807828</v>
      </c>
      <c r="AB28" s="61">
        <f t="shared" si="12"/>
        <v>14.287491814014407</v>
      </c>
      <c r="AC28" s="61">
        <f t="shared" si="14"/>
        <v>13.575579497224943</v>
      </c>
      <c r="AD28" s="61">
        <f t="shared" si="14"/>
        <v>12.598371335504886</v>
      </c>
      <c r="AE28" s="61">
        <f t="shared" si="14"/>
        <v>13.796084828711257</v>
      </c>
      <c r="AF28" s="61">
        <f t="shared" si="14"/>
        <v>14.364050797785737</v>
      </c>
      <c r="AG28" s="61">
        <f t="shared" si="14"/>
        <v>14.571428571428571</v>
      </c>
      <c r="AH28" s="61">
        <f t="shared" si="14"/>
        <v>16.44989262705798</v>
      </c>
      <c r="AI28" s="61">
        <f>W28/L28</f>
        <v>13.917555081734186</v>
      </c>
    </row>
    <row r="29" spans="2:35" ht="11.25">
      <c r="B29" s="42" t="s">
        <v>200</v>
      </c>
      <c r="C29" s="56">
        <v>12560</v>
      </c>
      <c r="D29" s="56">
        <v>12570</v>
      </c>
      <c r="E29" s="56">
        <v>13041</v>
      </c>
      <c r="F29" s="56">
        <v>12601</v>
      </c>
      <c r="G29" s="56">
        <v>12646</v>
      </c>
      <c r="H29" s="56">
        <v>12280</v>
      </c>
      <c r="I29" s="56">
        <v>12284</v>
      </c>
      <c r="J29" s="56">
        <v>12303</v>
      </c>
      <c r="K29" s="56">
        <v>12303</v>
      </c>
      <c r="L29" s="56">
        <v>12319</v>
      </c>
      <c r="M29" s="42" t="s">
        <v>200</v>
      </c>
      <c r="N29" s="57">
        <v>168906</v>
      </c>
      <c r="O29" s="58">
        <v>228700</v>
      </c>
      <c r="P29" s="58">
        <v>218441</v>
      </c>
      <c r="Q29" s="58">
        <v>198213</v>
      </c>
      <c r="R29" s="58">
        <v>185992</v>
      </c>
      <c r="S29" s="58">
        <v>161073</v>
      </c>
      <c r="T29" s="58">
        <v>159575</v>
      </c>
      <c r="U29" s="58">
        <v>172133</v>
      </c>
      <c r="V29" s="58">
        <v>173061</v>
      </c>
      <c r="W29" s="58">
        <v>44305</v>
      </c>
      <c r="X29" s="59"/>
      <c r="Y29" s="42" t="s">
        <v>200</v>
      </c>
      <c r="Z29" s="61">
        <f t="shared" si="13"/>
        <v>13.447929936305732</v>
      </c>
      <c r="AA29" s="61">
        <f t="shared" si="11"/>
        <v>18.194112967382658</v>
      </c>
      <c r="AB29" s="61">
        <f t="shared" si="12"/>
        <v>16.750325895253432</v>
      </c>
      <c r="AC29" s="61">
        <f t="shared" si="14"/>
        <v>15.729942068089834</v>
      </c>
      <c r="AD29" s="61">
        <f t="shared" si="14"/>
        <v>14.70757551795034</v>
      </c>
      <c r="AE29" s="61">
        <f t="shared" si="14"/>
        <v>13.116693811074919</v>
      </c>
      <c r="AF29" s="61">
        <f t="shared" si="14"/>
        <v>12.99047541517421</v>
      </c>
      <c r="AG29" s="61">
        <f t="shared" si="14"/>
        <v>13.991140372266926</v>
      </c>
      <c r="AH29" s="61">
        <f t="shared" si="14"/>
        <v>14.066569129480614</v>
      </c>
      <c r="AI29" s="61">
        <f>W29/L29</f>
        <v>3.5964769867684065</v>
      </c>
    </row>
    <row r="30" spans="2:35" ht="11.25">
      <c r="B30" s="42" t="s">
        <v>201</v>
      </c>
      <c r="C30" s="56">
        <v>10801</v>
      </c>
      <c r="D30" s="56">
        <v>10970</v>
      </c>
      <c r="E30" s="56">
        <v>9781</v>
      </c>
      <c r="F30" s="56">
        <v>9746</v>
      </c>
      <c r="G30" s="56">
        <v>9661</v>
      </c>
      <c r="H30" s="56">
        <v>9782</v>
      </c>
      <c r="I30" s="56">
        <v>9821</v>
      </c>
      <c r="J30" s="56">
        <v>9798</v>
      </c>
      <c r="K30" s="56">
        <v>9855</v>
      </c>
      <c r="L30" s="56">
        <v>9884</v>
      </c>
      <c r="M30" s="42" t="s">
        <v>201</v>
      </c>
      <c r="N30" s="57">
        <v>99634</v>
      </c>
      <c r="O30" s="58">
        <v>97211</v>
      </c>
      <c r="P30" s="58">
        <v>95042</v>
      </c>
      <c r="Q30" s="58">
        <v>92773</v>
      </c>
      <c r="R30" s="58">
        <v>97975</v>
      </c>
      <c r="S30" s="58">
        <v>102589</v>
      </c>
      <c r="T30" s="58">
        <v>105005</v>
      </c>
      <c r="U30" s="58">
        <v>100871</v>
      </c>
      <c r="V30" s="58">
        <v>101814</v>
      </c>
      <c r="W30" s="58">
        <v>103827</v>
      </c>
      <c r="X30" s="59"/>
      <c r="Y30" s="42" t="s">
        <v>201</v>
      </c>
      <c r="Z30" s="61">
        <f t="shared" si="13"/>
        <v>9.22451624849551</v>
      </c>
      <c r="AA30" s="61">
        <f t="shared" si="11"/>
        <v>8.861531449407474</v>
      </c>
      <c r="AB30" s="61">
        <f t="shared" si="12"/>
        <v>9.717002351497802</v>
      </c>
      <c r="AC30" s="61">
        <f t="shared" si="14"/>
        <v>9.519084752719063</v>
      </c>
      <c r="AD30" s="61">
        <f t="shared" si="14"/>
        <v>10.141289721560915</v>
      </c>
      <c r="AE30" s="61">
        <f t="shared" si="14"/>
        <v>10.487528112860355</v>
      </c>
      <c r="AF30" s="61">
        <f t="shared" si="14"/>
        <v>10.691884736788515</v>
      </c>
      <c r="AG30" s="61">
        <f t="shared" si="14"/>
        <v>10.295060216370688</v>
      </c>
      <c r="AH30" s="61">
        <f t="shared" si="14"/>
        <v>10.331202435312024</v>
      </c>
      <c r="AI30" s="61">
        <f>W30/L30</f>
        <v>10.504552812626468</v>
      </c>
    </row>
    <row r="31" spans="2:35" ht="11.25">
      <c r="B31" s="42" t="s">
        <v>202</v>
      </c>
      <c r="C31" s="56" t="s">
        <v>86</v>
      </c>
      <c r="D31" s="56">
        <v>16909</v>
      </c>
      <c r="E31" s="56">
        <v>16843</v>
      </c>
      <c r="F31" s="56">
        <v>16854</v>
      </c>
      <c r="G31" s="56">
        <v>17091</v>
      </c>
      <c r="H31" s="56">
        <v>16999</v>
      </c>
      <c r="I31" s="56">
        <v>17001</v>
      </c>
      <c r="J31" s="56">
        <v>16991</v>
      </c>
      <c r="K31" s="56">
        <v>16994</v>
      </c>
      <c r="L31" s="56">
        <v>16984</v>
      </c>
      <c r="M31" s="42" t="s">
        <v>202</v>
      </c>
      <c r="N31" s="57"/>
      <c r="O31" s="58">
        <v>431042</v>
      </c>
      <c r="P31" s="58">
        <v>427087</v>
      </c>
      <c r="Q31" s="58">
        <v>419247</v>
      </c>
      <c r="R31" s="58">
        <v>408340</v>
      </c>
      <c r="S31" s="58"/>
      <c r="T31" s="58"/>
      <c r="U31" s="58"/>
      <c r="V31" s="58"/>
      <c r="W31" s="58"/>
      <c r="X31" s="59"/>
      <c r="Y31" s="42" t="s">
        <v>202</v>
      </c>
      <c r="Z31" s="60" t="s">
        <v>174</v>
      </c>
      <c r="AA31" s="61">
        <f t="shared" si="11"/>
        <v>25.49186823585073</v>
      </c>
      <c r="AB31" s="61">
        <f t="shared" si="12"/>
        <v>25.356943537374576</v>
      </c>
      <c r="AC31" s="61">
        <f>Q31/F31</f>
        <v>24.875222499110002</v>
      </c>
      <c r="AD31" s="61">
        <f>R31/G31</f>
        <v>23.89210695687789</v>
      </c>
      <c r="AE31" s="60" t="s">
        <v>174</v>
      </c>
      <c r="AF31" s="60" t="s">
        <v>174</v>
      </c>
      <c r="AG31" s="60" t="s">
        <v>174</v>
      </c>
      <c r="AH31" s="60" t="s">
        <v>174</v>
      </c>
      <c r="AI31" s="60" t="s">
        <v>174</v>
      </c>
    </row>
    <row r="33" spans="2:30" ht="11.25">
      <c r="B33" s="42" t="s">
        <v>203</v>
      </c>
      <c r="C33" s="66" t="s">
        <v>86</v>
      </c>
      <c r="D33" s="45">
        <f aca="true" t="shared" si="15" ref="D33:L33">SUM(D17:D31)</f>
        <v>158978</v>
      </c>
      <c r="E33" s="45">
        <f t="shared" si="15"/>
        <v>157088</v>
      </c>
      <c r="F33" s="45">
        <f t="shared" si="15"/>
        <v>155858</v>
      </c>
      <c r="G33" s="45">
        <f t="shared" si="15"/>
        <v>156695</v>
      </c>
      <c r="H33" s="45">
        <f t="shared" si="15"/>
        <v>156469</v>
      </c>
      <c r="I33" s="45">
        <f t="shared" si="15"/>
        <v>155645</v>
      </c>
      <c r="J33" s="45">
        <f t="shared" si="15"/>
        <v>153063</v>
      </c>
      <c r="K33" s="45">
        <f t="shared" si="15"/>
        <v>152456</v>
      </c>
      <c r="L33" s="45">
        <f t="shared" si="15"/>
        <v>152042</v>
      </c>
      <c r="M33" s="42" t="s">
        <v>203</v>
      </c>
      <c r="Q33" s="45">
        <f>SUM(Q17:Q31)</f>
        <v>2895995</v>
      </c>
      <c r="R33" s="45">
        <f>SUM(R17:R31)</f>
        <v>2892579</v>
      </c>
      <c r="Y33" s="42" t="s">
        <v>203</v>
      </c>
      <c r="AC33" s="61">
        <f>Q33/F33</f>
        <v>18.580983972590435</v>
      </c>
      <c r="AD33" s="61">
        <f>R33/G33</f>
        <v>18.459931714477168</v>
      </c>
    </row>
    <row r="35" spans="2:34" ht="11.25">
      <c r="B35" s="42" t="s">
        <v>204</v>
      </c>
      <c r="D35" s="45">
        <f aca="true" t="shared" si="16" ref="D35:L35">D33-D31</f>
        <v>142069</v>
      </c>
      <c r="E35" s="45">
        <f t="shared" si="16"/>
        <v>140245</v>
      </c>
      <c r="F35" s="45">
        <f t="shared" si="16"/>
        <v>139004</v>
      </c>
      <c r="G35" s="45">
        <f t="shared" si="16"/>
        <v>139604</v>
      </c>
      <c r="H35" s="45">
        <f t="shared" si="16"/>
        <v>139470</v>
      </c>
      <c r="I35" s="45">
        <f t="shared" si="16"/>
        <v>138644</v>
      </c>
      <c r="J35" s="45">
        <f t="shared" si="16"/>
        <v>136072</v>
      </c>
      <c r="K35" s="45">
        <f t="shared" si="16"/>
        <v>135462</v>
      </c>
      <c r="L35" s="45">
        <f t="shared" si="16"/>
        <v>135058</v>
      </c>
      <c r="N35" s="42" t="s">
        <v>204</v>
      </c>
      <c r="Q35" s="45">
        <f aca="true" t="shared" si="17" ref="Q35:V35">SUM(Q17:Q30)</f>
        <v>2476748</v>
      </c>
      <c r="R35" s="45">
        <f t="shared" si="17"/>
        <v>2484239</v>
      </c>
      <c r="S35" s="45">
        <f t="shared" si="17"/>
        <v>2456422</v>
      </c>
      <c r="T35" s="45">
        <f t="shared" si="17"/>
        <v>2493887</v>
      </c>
      <c r="U35" s="45">
        <f t="shared" si="17"/>
        <v>2492582</v>
      </c>
      <c r="V35" s="45">
        <f t="shared" si="17"/>
        <v>2544342</v>
      </c>
      <c r="Y35" s="42" t="s">
        <v>204</v>
      </c>
      <c r="AC35" s="45">
        <f aca="true" t="shared" si="18" ref="AC35:AH35">Q35/F35</f>
        <v>17.817818192282235</v>
      </c>
      <c r="AD35" s="45">
        <f t="shared" si="18"/>
        <v>17.79489842697917</v>
      </c>
      <c r="AE35" s="45">
        <f t="shared" si="18"/>
        <v>17.61254750125475</v>
      </c>
      <c r="AF35" s="45">
        <f t="shared" si="18"/>
        <v>17.98770231672485</v>
      </c>
      <c r="AG35" s="45">
        <f t="shared" si="18"/>
        <v>18.318111000058792</v>
      </c>
      <c r="AH35" s="45">
        <f t="shared" si="18"/>
        <v>18.782699207157727</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17"/>
  <sheetViews>
    <sheetView workbookViewId="0" topLeftCell="A1">
      <selection activeCell="H10" sqref="H10"/>
    </sheetView>
  </sheetViews>
  <sheetFormatPr defaultColWidth="9.125" defaultRowHeight="12.75"/>
  <cols>
    <col min="1" max="16384" width="9.125" style="103" customWidth="1"/>
  </cols>
  <sheetData>
    <row r="1" ht="12.75">
      <c r="A1" s="102" t="s">
        <v>231</v>
      </c>
    </row>
    <row r="2" ht="12.75">
      <c r="A2" s="104" t="s">
        <v>232</v>
      </c>
    </row>
    <row r="4" spans="2:5" ht="12.75">
      <c r="B4" s="103" t="s">
        <v>96</v>
      </c>
      <c r="C4" s="103" t="s">
        <v>13</v>
      </c>
      <c r="D4" s="103" t="s">
        <v>72</v>
      </c>
      <c r="E4" s="103" t="s">
        <v>233</v>
      </c>
    </row>
    <row r="5" spans="1:5" ht="12.75">
      <c r="A5" s="103">
        <v>1990</v>
      </c>
      <c r="B5" s="136">
        <f>+manip_road!B37/manip_road!B$40*100</f>
        <v>89.67446592065107</v>
      </c>
      <c r="C5" s="136">
        <f>+manip_rail!B5/manip_rail!B$8*100</f>
        <v>102.59695132195934</v>
      </c>
      <c r="D5" s="136">
        <f>+manip_waterways!B5/manip_waterways!B$8*100</f>
        <v>103.51854963003002</v>
      </c>
      <c r="E5" s="136"/>
    </row>
    <row r="6" spans="1:5" ht="12.75">
      <c r="A6" s="103">
        <v>1991</v>
      </c>
      <c r="B6" s="136">
        <f>+manip_road!B38/manip_road!B$40*100</f>
        <v>88.50457782299085</v>
      </c>
      <c r="C6" s="136">
        <f>+manip_rail!B6/manip_rail!B$8*100</f>
        <v>101.877166989965</v>
      </c>
      <c r="D6" s="136">
        <f>+manip_waterways!B6/manip_waterways!B$8*100</f>
        <v>103.51854963003002</v>
      </c>
      <c r="E6" s="136"/>
    </row>
    <row r="7" spans="1:5" ht="12.75">
      <c r="A7" s="103">
        <v>1992</v>
      </c>
      <c r="B7" s="136">
        <f>+manip_road!B39/manip_road!B$40*100</f>
        <v>90.8443540183113</v>
      </c>
      <c r="C7" s="136">
        <f>+manip_rail!B7/manip_rail!B$8*100</f>
        <v>100.59453803974276</v>
      </c>
      <c r="D7" s="136">
        <f>+manip_waterways!B7/manip_waterways!B$8*100</f>
        <v>103.51854963003002</v>
      </c>
      <c r="E7" s="136"/>
    </row>
    <row r="8" spans="1:5" ht="12.75">
      <c r="A8" s="103">
        <v>1993</v>
      </c>
      <c r="B8" s="136">
        <f>+manip_road!B40/manip_road!B$40*100</f>
        <v>100</v>
      </c>
      <c r="C8" s="136">
        <f>+manip_rail!B8/manip_rail!B$8*100</f>
        <v>100</v>
      </c>
      <c r="D8" s="136">
        <f>+manip_waterways!B8/manip_waterways!B$8*100</f>
        <v>100</v>
      </c>
      <c r="E8" s="136">
        <f>+manip_oilpipelines!B8/manip_oilpipelines!$B$8*100</f>
        <v>100</v>
      </c>
    </row>
    <row r="9" spans="1:5" ht="12.75">
      <c r="A9" s="103">
        <v>1994</v>
      </c>
      <c r="B9" s="136">
        <f>+manip_road!B41/manip_road!B$40*100</f>
        <v>102.84842319430317</v>
      </c>
      <c r="C9" s="136">
        <f>+manip_rail!B9/manip_rail!B$8*100</f>
        <v>98.71507995906585</v>
      </c>
      <c r="D9" s="136">
        <f>+manip_waterways!B9/manip_waterways!B$8*100</f>
        <v>99.75164897774337</v>
      </c>
      <c r="E9" s="136">
        <f>+manip_oilpipelines!B9/manip_oilpipelines!$B$8*100</f>
        <v>103.92491467576792</v>
      </c>
    </row>
    <row r="10" spans="1:5" ht="12.75">
      <c r="A10" s="103">
        <v>1995</v>
      </c>
      <c r="B10" s="136">
        <f>+manip_road!B42/manip_road!B$40*100</f>
        <v>107.45167853509665</v>
      </c>
      <c r="C10" s="136">
        <f>+manip_rail!B10/manip_rail!B$8*100</f>
        <v>97.84198347359899</v>
      </c>
      <c r="D10" s="136">
        <f>+manip_waterways!B10/manip_waterways!B$8*100</f>
        <v>100.6690868717267</v>
      </c>
      <c r="E10" s="136">
        <f>+manip_oilpipelines!B10/manip_oilpipelines!$B$8*100</f>
        <v>103.92491467576792</v>
      </c>
    </row>
    <row r="11" spans="1:5" ht="12.75">
      <c r="A11" s="103">
        <v>1996</v>
      </c>
      <c r="B11" s="136">
        <f>+manip_road!B43/manip_road!B$40*100</f>
        <v>113.68260427263479</v>
      </c>
      <c r="C11" s="136">
        <f>+manip_rail!B11/manip_rail!B$8*100</f>
        <v>96.93757541506926</v>
      </c>
      <c r="D11" s="136">
        <f>+manip_waterways!B11/manip_waterways!B$8*100</f>
        <v>98.21552486066778</v>
      </c>
      <c r="E11" s="136">
        <f>+manip_oilpipelines!B11/manip_oilpipelines!$B$8*100</f>
        <v>107.2098976109215</v>
      </c>
    </row>
    <row r="12" spans="1:5" ht="12.75">
      <c r="A12" s="103">
        <v>1997</v>
      </c>
      <c r="B12" s="136">
        <f>+manip_road!B44/manip_road!B$40*100</f>
        <v>119.83723296032554</v>
      </c>
      <c r="C12" s="136">
        <f>+manip_rail!B12/manip_rail!B$8*100</f>
        <v>96.7092300407814</v>
      </c>
      <c r="D12" s="136">
        <f>+manip_waterways!B12/manip_waterways!B$8*100</f>
        <v>98.21552486066778</v>
      </c>
      <c r="E12" s="136">
        <f>+manip_oilpipelines!B12/manip_oilpipelines!$B$8*100</f>
        <v>107.23122866894197</v>
      </c>
    </row>
    <row r="13" spans="1:5" ht="12.75">
      <c r="A13" s="103">
        <v>1998</v>
      </c>
      <c r="B13" s="136">
        <f>+manip_road!B45/manip_road!B$40*100</f>
        <v>130.77314343845373</v>
      </c>
      <c r="C13" s="136">
        <f>+manip_rail!B13/manip_rail!B$8*100</f>
        <v>96.46637442531808</v>
      </c>
      <c r="D13" s="136">
        <f>+manip_waterways!B13/manip_waterways!B$8*100</f>
        <v>98.01976581959491</v>
      </c>
      <c r="E13" s="136">
        <f>+manip_oilpipelines!B13/manip_oilpipelines!$B$8*100</f>
        <v>107.23122866894197</v>
      </c>
    </row>
    <row r="14" spans="1:5" ht="12.75">
      <c r="A14" s="103">
        <v>1999</v>
      </c>
      <c r="B14" s="136">
        <f>+manip_road!B46/manip_road!B$40*100</f>
        <v>136.21566632756867</v>
      </c>
      <c r="C14" s="136">
        <f>+manip_rail!B14/manip_rail!B$8*100</f>
        <v>95.7255884284645</v>
      </c>
      <c r="D14" s="136">
        <f>+manip_waterways!B14/manip_waterways!B$8*100</f>
        <v>98.03437470325707</v>
      </c>
      <c r="E14" s="136">
        <f>+manip_oilpipelines!B14/manip_oilpipelines!$B$8*100</f>
        <v>109.38566552901024</v>
      </c>
    </row>
    <row r="15" spans="1:5" ht="12.75">
      <c r="A15" s="103">
        <v>2000</v>
      </c>
      <c r="B15" s="136">
        <f>+manip_road!B47/manip_road!B$40*100</f>
        <v>141.3021363173957</v>
      </c>
      <c r="C15" s="136">
        <f>+manip_rail!B15/manip_rail!B$8*100</f>
        <v>94.98995738571274</v>
      </c>
      <c r="D15" s="136">
        <f>+manip_waterways!B15/manip_waterways!B$8*100</f>
        <v>98.19507242354076</v>
      </c>
      <c r="E15" s="136">
        <f>+manip_oilpipelines!B15/manip_oilpipelines!$B$8*100</f>
        <v>109.38566552901024</v>
      </c>
    </row>
    <row r="16" ht="12.75">
      <c r="A16" s="103">
        <v>2001</v>
      </c>
    </row>
    <row r="17" ht="12.75">
      <c r="A17" s="103" t="s">
        <v>69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56"/>
  <sheetViews>
    <sheetView workbookViewId="0" topLeftCell="A1">
      <selection activeCell="P10" sqref="P10"/>
    </sheetView>
  </sheetViews>
  <sheetFormatPr defaultColWidth="9.00390625" defaultRowHeight="12.75"/>
  <cols>
    <col min="1" max="1" width="17.00390625" style="1" customWidth="1"/>
    <col min="2" max="17" width="6.125" style="1" customWidth="1"/>
    <col min="18" max="16384" width="9.00390625" style="1" customWidth="1"/>
  </cols>
  <sheetData>
    <row r="1" ht="11.25">
      <c r="A1" s="3" t="s">
        <v>315</v>
      </c>
    </row>
    <row r="2" ht="11.25">
      <c r="A2" s="23" t="s">
        <v>311</v>
      </c>
    </row>
    <row r="3" ht="11.25">
      <c r="A3" s="23" t="s">
        <v>312</v>
      </c>
    </row>
    <row r="4" ht="11.25">
      <c r="A4" s="23" t="s">
        <v>318</v>
      </c>
    </row>
    <row r="6" spans="1:19" ht="11.25">
      <c r="A6" s="95"/>
      <c r="B6" s="19" t="s">
        <v>175</v>
      </c>
      <c r="C6" s="20" t="s">
        <v>0</v>
      </c>
      <c r="D6" s="20" t="s">
        <v>29</v>
      </c>
      <c r="E6" s="20" t="s">
        <v>1</v>
      </c>
      <c r="F6" s="20" t="s">
        <v>2</v>
      </c>
      <c r="G6" s="20" t="s">
        <v>3</v>
      </c>
      <c r="H6" s="20" t="s">
        <v>4</v>
      </c>
      <c r="I6" s="20" t="s">
        <v>5</v>
      </c>
      <c r="J6" s="20" t="s">
        <v>30</v>
      </c>
      <c r="K6" s="20" t="s">
        <v>6</v>
      </c>
      <c r="L6" s="20" t="s">
        <v>7</v>
      </c>
      <c r="M6" s="20" t="s">
        <v>8</v>
      </c>
      <c r="N6" s="20" t="s">
        <v>9</v>
      </c>
      <c r="O6" s="21" t="s">
        <v>31</v>
      </c>
      <c r="P6" s="95" t="s">
        <v>68</v>
      </c>
      <c r="Q6" s="95"/>
      <c r="S6" s="95"/>
    </row>
    <row r="7" spans="1:19" ht="11.25">
      <c r="A7" s="129" t="s">
        <v>313</v>
      </c>
      <c r="B7" s="162">
        <f>+'[7]manip_rail'!$P$8/manip_rail!B14</f>
        <v>2.3837009852806257</v>
      </c>
      <c r="C7" s="157">
        <f>+'[7]manip_rail'!$C$8/manip_rail!C5</f>
        <v>1.232147010932775</v>
      </c>
      <c r="D7" s="157"/>
      <c r="E7" s="157">
        <f>+'[7]manip_rail'!$C$8/manip_rail!E5</f>
        <v>0.560469791556449</v>
      </c>
      <c r="F7" s="157">
        <f>+'[7]manip_rail'!$C$8/manip_rail!F5</f>
        <v>5.162768031189084</v>
      </c>
      <c r="G7" s="157">
        <f>+'[7]manip_rail'!$C$8/manip_rail!G5</f>
        <v>0.6815491507977355</v>
      </c>
      <c r="H7" s="157">
        <f>+'[7]manip_rail'!$C$8/manip_rail!H5</f>
        <v>2.209845640383813</v>
      </c>
      <c r="I7" s="157">
        <f>+'[7]manip_rail'!$C$8/manip_rail!I5</f>
        <v>2.639262580966617</v>
      </c>
      <c r="J7" s="157"/>
      <c r="K7" s="157">
        <f>+'[7]manip_rail'!$C$8/manip_rail!K5</f>
        <v>0.20195973768491687</v>
      </c>
      <c r="L7" s="157">
        <f>+'[7]manip_rail'!$C$8/manip_rail!L5</f>
        <v>0.46677828692280576</v>
      </c>
      <c r="M7" s="157">
        <f>+'[7]manip_rail'!$C$8/manip_rail!M5</f>
        <v>1.4472677595628416</v>
      </c>
      <c r="N7" s="157">
        <f>+'[7]manip_rail'!$C$8/manip_rail!N5</f>
        <v>4.428929765886288</v>
      </c>
      <c r="O7" s="157">
        <f>+'[7]manip_rail'!$C$8/manip_rail!O5</f>
        <v>0.6284256732708506</v>
      </c>
      <c r="P7" s="162">
        <f>+'[6]data_level_of_use_rail'!B7</f>
        <v>1.6292752429690918</v>
      </c>
      <c r="Q7" s="157"/>
      <c r="R7" s="157"/>
      <c r="S7" s="159"/>
    </row>
    <row r="8" spans="1:19" ht="11.25">
      <c r="A8" s="1" t="s">
        <v>314</v>
      </c>
      <c r="B8" s="165">
        <f>+'[8]manip_rail'!Q15/manip_rail!B14</f>
        <v>0.8685029319079342</v>
      </c>
      <c r="C8" s="159">
        <f>+'[8]manip_rail'!C15/manip_rail!C14</f>
        <v>0.8902097902097902</v>
      </c>
      <c r="D8" s="159"/>
      <c r="E8" s="159">
        <f>+'[8]manip_rail'!E15/manip_rail!E14</f>
        <v>0.7366581956797967</v>
      </c>
      <c r="F8" s="159">
        <f>+'[8]manip_rail'!F14/manip_rail!F13</f>
        <v>0.24380165289256198</v>
      </c>
      <c r="G8" s="159">
        <f>+'[8]manip_rail'!G15/manip_rail!G14</f>
        <v>1.2434975820154228</v>
      </c>
      <c r="H8" s="159">
        <f>+'[8]manip_rail'!H15/manip_rail!H14</f>
        <v>0.40779113137173645</v>
      </c>
      <c r="I8" s="159">
        <f>+'[8]manip_rail'!I15/manip_rail!I14</f>
        <v>0.3910761154855643</v>
      </c>
      <c r="J8" s="159"/>
      <c r="K8" s="159">
        <f>+'[8]manip_rail'!K15/manip_rail!K14</f>
        <v>0.9400200952339347</v>
      </c>
      <c r="L8" s="159">
        <f>+'[8]manip_rail'!L15/manip_rail!L14</f>
        <v>1.120480830525453</v>
      </c>
      <c r="M8" s="159">
        <f>+'[8]manip_rail'!M15/manip_rail!M14</f>
        <v>0.8098226466575716</v>
      </c>
      <c r="N8" s="159">
        <f>+'[8]manip_rail'!N15/manip_rail!N14</f>
        <v>0.5187343880099917</v>
      </c>
      <c r="O8" s="159">
        <f>+'[8]manip_rail'!O14/manip_rail!O13</f>
        <v>0.7156965260834205</v>
      </c>
      <c r="P8" s="162">
        <f>+'[6]data_level_of_use_rail'!B8</f>
        <v>1.9649360764168022</v>
      </c>
      <c r="Q8" s="159"/>
      <c r="R8" s="159"/>
      <c r="S8" s="159"/>
    </row>
    <row r="9" spans="1:16" ht="11.25">
      <c r="A9" s="1" t="s">
        <v>317</v>
      </c>
      <c r="B9" s="158">
        <f>+'[5]manip_POP_AC'!P16/'[5]basedata_surface'!B6*1000</f>
        <v>101.43860452017176</v>
      </c>
      <c r="C9" s="158">
        <f>+'[5]manip_POP_AC'!C16/'[5]basedata_surface'!D6*1000</f>
        <v>73.58019352397427</v>
      </c>
      <c r="D9" s="158">
        <f>+'[5]manip_POP_AC'!D16/'[5]basedata_surface'!E6*1000</f>
        <v>81.82899146038267</v>
      </c>
      <c r="E9" s="158">
        <f>+'[5]manip_POP_AC'!E16/'[5]basedata_surface'!F6*1000</f>
        <v>130.2627241143205</v>
      </c>
      <c r="F9" s="158">
        <f>+'[5]manip_POP_AC'!F16/'[5]basedata_surface'!G6*1000</f>
        <v>30.269529263493048</v>
      </c>
      <c r="G9" s="158">
        <f>+'[5]manip_POP_AC'!G16/'[5]basedata_surface'!H6*1000</f>
        <v>107.72868966999891</v>
      </c>
      <c r="H9" s="158">
        <f>+'[5]manip_POP_AC'!H16/'[5]basedata_surface'!I6*1000</f>
        <v>36.724519655049626</v>
      </c>
      <c r="I9" s="158">
        <f>+'[5]manip_POP_AC'!I16/'[5]basedata_surface'!J6*1000</f>
        <v>56.584992343032155</v>
      </c>
      <c r="J9" s="158">
        <f>+'[5]manip_POP_AC'!J16/'[5]basedata_surface'!K6*1000</f>
        <v>1234.1772151898733</v>
      </c>
      <c r="K9" s="158">
        <f>+'[5]manip_POP_AC'!K16/'[5]basedata_surface'!L6*1000</f>
        <v>123.60682475974224</v>
      </c>
      <c r="L9" s="158">
        <f>+'[5]manip_POP_AC'!L16/'[5]basedata_surface'!M6*1000</f>
        <v>94.11009643820447</v>
      </c>
      <c r="M9" s="158">
        <f>+'[5]manip_POP_AC'!M16/'[5]basedata_surface'!N6*1000</f>
        <v>110.159678603475</v>
      </c>
      <c r="N9" s="158">
        <f>+'[5]manip_POP_AC'!N16/'[5]basedata_surface'!O6*1000</f>
        <v>98.14375987361768</v>
      </c>
      <c r="O9" s="158">
        <f>+'[5]manip_POP_AC'!O16/'[5]basedata_surface'!P6*1000</f>
        <v>84.26914811922846</v>
      </c>
      <c r="P9" s="158"/>
    </row>
    <row r="11" ht="11.25">
      <c r="B11" s="129"/>
    </row>
    <row r="14" spans="1:6" ht="11.25">
      <c r="A14" s="3" t="s">
        <v>243</v>
      </c>
      <c r="F14" s="3" t="s">
        <v>245</v>
      </c>
    </row>
    <row r="15" spans="2:7" ht="11.25">
      <c r="B15" s="1" t="s">
        <v>313</v>
      </c>
      <c r="G15" s="1" t="s">
        <v>314</v>
      </c>
    </row>
    <row r="16" spans="1:7" ht="11.25">
      <c r="A16" s="1" t="s">
        <v>2</v>
      </c>
      <c r="B16" s="159">
        <f>+$F$7</f>
        <v>5.162768031189084</v>
      </c>
      <c r="C16" s="115"/>
      <c r="F16" s="1" t="s">
        <v>3</v>
      </c>
      <c r="G16" s="159">
        <f>+$G$8</f>
        <v>1.2434975820154228</v>
      </c>
    </row>
    <row r="17" spans="1:7" ht="11.25">
      <c r="A17" s="1" t="s">
        <v>9</v>
      </c>
      <c r="B17" s="159">
        <f>+$N$7</f>
        <v>4.428929765886288</v>
      </c>
      <c r="F17" s="1" t="s">
        <v>7</v>
      </c>
      <c r="G17" s="159">
        <f>+$L$8</f>
        <v>1.120480830525453</v>
      </c>
    </row>
    <row r="18" spans="1:7" ht="11.25">
      <c r="A18" s="1" t="s">
        <v>5</v>
      </c>
      <c r="B18" s="159">
        <f>+$I$7</f>
        <v>2.639262580966617</v>
      </c>
      <c r="F18" s="1" t="s">
        <v>6</v>
      </c>
      <c r="G18" s="159">
        <f>+$K$8</f>
        <v>0.9400200952339347</v>
      </c>
    </row>
    <row r="19" spans="1:7" ht="11.25">
      <c r="A19" s="1" t="s">
        <v>4</v>
      </c>
      <c r="B19" s="159">
        <f>+$H$7</f>
        <v>2.209845640383813</v>
      </c>
      <c r="F19" s="1" t="s">
        <v>0</v>
      </c>
      <c r="G19" s="159">
        <f>+$C$8</f>
        <v>0.8902097902097902</v>
      </c>
    </row>
    <row r="20" spans="1:7" ht="11.25">
      <c r="A20" s="1" t="s">
        <v>8</v>
      </c>
      <c r="B20" s="159">
        <f>+$M$7</f>
        <v>1.4472677595628416</v>
      </c>
      <c r="F20" s="1" t="s">
        <v>8</v>
      </c>
      <c r="G20" s="159">
        <f>+$M$8</f>
        <v>0.8098226466575716</v>
      </c>
    </row>
    <row r="21" spans="1:7" ht="11.25">
      <c r="A21" s="1" t="s">
        <v>0</v>
      </c>
      <c r="B21" s="159">
        <f>+$C$7</f>
        <v>1.232147010932775</v>
      </c>
      <c r="F21" s="1" t="s">
        <v>1</v>
      </c>
      <c r="G21" s="159">
        <f>+$E$8</f>
        <v>0.7366581956797967</v>
      </c>
    </row>
    <row r="22" spans="1:7" ht="11.25">
      <c r="A22" s="1" t="s">
        <v>3</v>
      </c>
      <c r="B22" s="159">
        <f>+$G$7</f>
        <v>0.6815491507977355</v>
      </c>
      <c r="F22" s="1" t="s">
        <v>31</v>
      </c>
      <c r="G22" s="159">
        <f>+$O$8</f>
        <v>0.7156965260834205</v>
      </c>
    </row>
    <row r="23" spans="1:7" ht="11.25">
      <c r="A23" s="1" t="s">
        <v>31</v>
      </c>
      <c r="B23" s="159">
        <f>+$O$7</f>
        <v>0.6284256732708506</v>
      </c>
      <c r="F23" s="1" t="s">
        <v>9</v>
      </c>
      <c r="G23" s="159">
        <f>+$N$8</f>
        <v>0.5187343880099917</v>
      </c>
    </row>
    <row r="24" spans="1:7" ht="11.25">
      <c r="A24" s="1" t="s">
        <v>1</v>
      </c>
      <c r="B24" s="159">
        <f>+$E$7</f>
        <v>0.560469791556449</v>
      </c>
      <c r="F24" s="1" t="s">
        <v>4</v>
      </c>
      <c r="G24" s="159">
        <f>+$H$8</f>
        <v>0.40779113137173645</v>
      </c>
    </row>
    <row r="25" spans="1:7" ht="11.25">
      <c r="A25" s="1" t="s">
        <v>7</v>
      </c>
      <c r="B25" s="159">
        <f>+$L$7</f>
        <v>0.46677828692280576</v>
      </c>
      <c r="F25" s="1" t="s">
        <v>5</v>
      </c>
      <c r="G25" s="159">
        <f>+$I$8</f>
        <v>0.3910761154855643</v>
      </c>
    </row>
    <row r="26" spans="1:7" ht="11.25">
      <c r="A26" s="1" t="s">
        <v>6</v>
      </c>
      <c r="B26" s="159">
        <f>+$K$7</f>
        <v>0.20195973768491687</v>
      </c>
      <c r="F26" s="1" t="s">
        <v>2</v>
      </c>
      <c r="G26" s="159">
        <f>+$F$8</f>
        <v>0.24380165289256198</v>
      </c>
    </row>
    <row r="27" spans="1:7" ht="11.25">
      <c r="A27" s="1" t="s">
        <v>29</v>
      </c>
      <c r="B27" s="159">
        <f>+$D$7</f>
        <v>0</v>
      </c>
      <c r="F27" s="1" t="s">
        <v>30</v>
      </c>
      <c r="G27" s="159">
        <f>+$J$8</f>
        <v>0</v>
      </c>
    </row>
    <row r="28" spans="1:7" ht="11.25">
      <c r="A28" s="1" t="s">
        <v>30</v>
      </c>
      <c r="B28" s="159">
        <f>+$J$7</f>
        <v>0</v>
      </c>
      <c r="F28" s="1" t="s">
        <v>29</v>
      </c>
      <c r="G28" s="159">
        <f>+$D$8</f>
        <v>0</v>
      </c>
    </row>
    <row r="29" spans="1:7" ht="11.25">
      <c r="A29" s="1" t="s">
        <v>175</v>
      </c>
      <c r="B29" s="159">
        <f>+$B$7</f>
        <v>2.3837009852806257</v>
      </c>
      <c r="F29" s="1" t="s">
        <v>175</v>
      </c>
      <c r="G29" s="159">
        <f>+$B$8</f>
        <v>0.8685029319079342</v>
      </c>
    </row>
    <row r="30" spans="1:7" ht="11.25">
      <c r="A30" s="1" t="s">
        <v>68</v>
      </c>
      <c r="B30" s="159">
        <f>+$P$7</f>
        <v>1.6292752429690918</v>
      </c>
      <c r="F30" s="1" t="s">
        <v>68</v>
      </c>
      <c r="G30" s="159">
        <f>+$P$8</f>
        <v>1.9649360764168022</v>
      </c>
    </row>
    <row r="33" ht="11.25">
      <c r="B33" s="159"/>
    </row>
    <row r="37" spans="1:9" ht="11.25">
      <c r="A37" s="1" t="s">
        <v>316</v>
      </c>
      <c r="I37" s="1" t="s">
        <v>320</v>
      </c>
    </row>
    <row r="40" ht="11.25">
      <c r="A40" s="3" t="s">
        <v>317</v>
      </c>
    </row>
    <row r="46" spans="4:5" ht="11.25">
      <c r="D46" s="1" t="s">
        <v>319</v>
      </c>
      <c r="E46" s="1">
        <f>CORREL(C8:O8,C9:O9)</f>
        <v>0.6911519437067812</v>
      </c>
    </row>
    <row r="47" spans="4:5" ht="11.25">
      <c r="D47" s="1" t="s">
        <v>319</v>
      </c>
      <c r="E47" s="1">
        <f>CORREL(C7:O7,C9:O9)</f>
        <v>-0.624522855674763</v>
      </c>
    </row>
    <row r="56" ht="11.25">
      <c r="I56" s="1" t="s">
        <v>321</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3"/>
  <dimension ref="A1:AE73"/>
  <sheetViews>
    <sheetView workbookViewId="0" topLeftCell="A52">
      <selection activeCell="B73" sqref="B73"/>
    </sheetView>
  </sheetViews>
  <sheetFormatPr defaultColWidth="9.00390625" defaultRowHeight="12.75"/>
  <cols>
    <col min="1" max="31" width="7.375" style="87" customWidth="1"/>
    <col min="32" max="16384" width="9.125" style="87" customWidth="1"/>
  </cols>
  <sheetData>
    <row r="1" spans="1:5" ht="12">
      <c r="A1" s="36" t="s">
        <v>214</v>
      </c>
      <c r="B1" s="36"/>
      <c r="C1" s="27"/>
      <c r="D1" s="27"/>
      <c r="E1" s="27"/>
    </row>
    <row r="2" spans="1:5" ht="12">
      <c r="A2" s="37"/>
      <c r="B2" s="37"/>
      <c r="C2" s="27"/>
      <c r="D2" s="27"/>
      <c r="E2" s="27"/>
    </row>
    <row r="3" spans="1:5" ht="12">
      <c r="A3" s="36" t="s">
        <v>215</v>
      </c>
      <c r="B3" s="27"/>
      <c r="C3" s="27"/>
      <c r="D3" s="27"/>
      <c r="E3" s="27"/>
    </row>
    <row r="4" spans="1:19" ht="12">
      <c r="A4" s="37" t="s">
        <v>220</v>
      </c>
      <c r="B4" s="40"/>
      <c r="C4" s="40"/>
      <c r="D4" s="27"/>
      <c r="E4" s="27"/>
      <c r="F4" s="27"/>
      <c r="G4" s="27"/>
      <c r="H4" s="27"/>
      <c r="I4" s="27"/>
      <c r="J4" s="27"/>
      <c r="K4" s="27"/>
      <c r="L4" s="27"/>
      <c r="M4" s="27"/>
      <c r="N4" s="27"/>
      <c r="O4" s="38"/>
      <c r="P4" s="38"/>
      <c r="Q4" s="38"/>
      <c r="R4" s="38"/>
      <c r="S4" s="38"/>
    </row>
    <row r="5" spans="1:17" ht="12">
      <c r="A5" s="27"/>
      <c r="B5" s="41"/>
      <c r="C5" s="41"/>
      <c r="D5" s="41"/>
      <c r="E5" s="41"/>
      <c r="F5" s="41"/>
      <c r="G5" s="41"/>
      <c r="H5" s="41"/>
      <c r="I5" s="41"/>
      <c r="J5" s="41"/>
      <c r="K5" s="41"/>
      <c r="L5" s="41"/>
      <c r="M5" s="41"/>
      <c r="N5" s="41"/>
      <c r="O5" s="41"/>
      <c r="P5" s="41"/>
      <c r="Q5" s="41"/>
    </row>
    <row r="6" spans="1:31" s="88" customFormat="1" ht="12">
      <c r="A6" s="39"/>
      <c r="B6" s="95" t="s">
        <v>28</v>
      </c>
      <c r="C6" s="95" t="s">
        <v>0</v>
      </c>
      <c r="D6" s="20" t="s">
        <v>29</v>
      </c>
      <c r="E6" s="95" t="s">
        <v>10</v>
      </c>
      <c r="F6" s="95" t="s">
        <v>2</v>
      </c>
      <c r="G6" s="95" t="s">
        <v>3</v>
      </c>
      <c r="H6" s="95" t="s">
        <v>4</v>
      </c>
      <c r="I6" s="95" t="s">
        <v>5</v>
      </c>
      <c r="J6" s="20" t="s">
        <v>30</v>
      </c>
      <c r="K6" s="95" t="s">
        <v>6</v>
      </c>
      <c r="L6" s="95" t="s">
        <v>7</v>
      </c>
      <c r="M6" s="95" t="s">
        <v>269</v>
      </c>
      <c r="N6" s="95" t="s">
        <v>9</v>
      </c>
      <c r="O6" s="21" t="s">
        <v>31</v>
      </c>
      <c r="P6" s="96" t="s">
        <v>68</v>
      </c>
      <c r="Q6" s="96" t="s">
        <v>49</v>
      </c>
      <c r="R6" s="96" t="s">
        <v>50</v>
      </c>
      <c r="S6" s="96" t="s">
        <v>51</v>
      </c>
      <c r="T6" s="96" t="s">
        <v>52</v>
      </c>
      <c r="U6" s="96" t="s">
        <v>53</v>
      </c>
      <c r="V6" s="96" t="s">
        <v>54</v>
      </c>
      <c r="W6" s="96" t="s">
        <v>55</v>
      </c>
      <c r="X6" s="96" t="s">
        <v>56</v>
      </c>
      <c r="Y6" s="96" t="s">
        <v>57</v>
      </c>
      <c r="Z6" s="96" t="s">
        <v>58</v>
      </c>
      <c r="AA6" s="96" t="s">
        <v>59</v>
      </c>
      <c r="AB6" s="96" t="s">
        <v>60</v>
      </c>
      <c r="AC6" s="96" t="s">
        <v>61</v>
      </c>
      <c r="AD6" s="96" t="s">
        <v>62</v>
      </c>
      <c r="AE6" s="96" t="s">
        <v>63</v>
      </c>
    </row>
    <row r="7" spans="1:31" ht="12">
      <c r="A7" s="27" t="s">
        <v>14</v>
      </c>
      <c r="B7" s="90">
        <f>+manip_road!B13/surface_area!B5*1000</f>
        <v>683.7379667546368</v>
      </c>
      <c r="C7" s="90">
        <f>+manip_road!C13/surface_area!C5*1000</f>
        <v>331.18006378723175</v>
      </c>
      <c r="D7" s="90">
        <f>+manip_road!D13/surface_area!D5*1000</f>
        <v>1191.654956220949</v>
      </c>
      <c r="E7" s="90">
        <f>+manip_road!E13/surface_area!E5*1000</f>
        <v>1619.126112646768</v>
      </c>
      <c r="F7" s="90">
        <f>+manip_road!F13/surface_area!F5*1000</f>
        <v>970.4159020054393</v>
      </c>
      <c r="G7" s="90">
        <f>+manip_road!G13/surface_area!G5*1000</f>
        <v>325.1101795119854</v>
      </c>
      <c r="H7" s="90">
        <f>+manip_road!H13/surface_area!H5*1000</f>
        <v>895.1679078480856</v>
      </c>
      <c r="I7" s="90">
        <f>+manip_road!I13/surface_area!I5*1000</f>
        <v>1109.6324655436447</v>
      </c>
      <c r="J7" s="90">
        <f>+manip_road!J13/surface_area!J5*1000</f>
        <v>6237.341772151899</v>
      </c>
      <c r="K7" s="90">
        <f>+manip_road!K13/surface_area!K5*1000</f>
        <v>1218.6257735420631</v>
      </c>
      <c r="L7" s="90">
        <f>+manip_road!L13/surface_area!L5*1000</f>
        <v>307.31025919602666</v>
      </c>
      <c r="M7" s="90">
        <f>+manip_road!M13/surface_area!M5*1000</f>
        <v>361.18362019740596</v>
      </c>
      <c r="N7" s="90">
        <f>+manip_road!N13/surface_area!N5*1000</f>
        <v>1844.5892575039495</v>
      </c>
      <c r="O7" s="90">
        <f>+manip_road!O13/surface_area!O5*1000</f>
        <v>493.53329504462357</v>
      </c>
      <c r="P7" s="90">
        <f>+'manip_EU-infra'!B14/surface_area!Q5*1000</f>
        <v>1198.9095321874581</v>
      </c>
      <c r="Q7" s="90">
        <f>+'manip_EU-infra'!C14/surface_area!R5*1000</f>
        <v>1268.3464904958382</v>
      </c>
      <c r="R7" s="90">
        <f>+'manip_EU-infra'!D14/surface_area!S5*1000</f>
        <v>4777.581236897275</v>
      </c>
      <c r="S7" s="90">
        <f>+'manip_EU-infra'!E14/surface_area!T5*1000</f>
        <v>1658.2818953914698</v>
      </c>
      <c r="T7" s="90">
        <f>+'manip_EU-infra'!F14/surface_area!U5*1000</f>
        <v>230.35679959780566</v>
      </c>
      <c r="U7" s="90">
        <f>+'manip_EU-infra'!G14/surface_area!V5*1000</f>
        <v>1777.637352674524</v>
      </c>
      <c r="V7" s="90">
        <f>+'manip_EU-infra'!H14/surface_area!W5*1000</f>
        <v>1818.0616320562879</v>
      </c>
      <c r="W7" s="90">
        <f>+'manip_EU-infra'!I14/surface_area!X5*1000</f>
        <v>292.56500223557674</v>
      </c>
      <c r="X7" s="90">
        <f>+'manip_EU-infra'!J14/surface_area!Y5*1000</f>
        <v>1363.7527926799767</v>
      </c>
      <c r="Y7" s="90">
        <f>+'manip_EU-infra'!K14/surface_area!Z5*1000</f>
        <v>2770.3190649081703</v>
      </c>
      <c r="Z7" s="90">
        <f>+'manip_EU-infra'!L14/surface_area!AA5*1000</f>
        <v>2002.706883217324</v>
      </c>
      <c r="AA7" s="90">
        <f>+'manip_EU-infra'!M14/surface_area!AB5*1000</f>
        <v>2795.6701825362425</v>
      </c>
      <c r="AB7" s="90">
        <f>+'manip_EU-infra'!N14/surface_area!AC5*1000</f>
        <v>747.64627861973</v>
      </c>
      <c r="AC7" s="90">
        <f>+'manip_EU-infra'!O14/surface_area!AD5*1000</f>
        <v>322.67901468797925</v>
      </c>
      <c r="AD7" s="90">
        <f>+'manip_EU-infra'!P14/surface_area!AE5*1000</f>
        <v>306.76231876327887</v>
      </c>
      <c r="AE7" s="90">
        <f>+'manip_EU-infra'!Q14/surface_area!AF5*1000</f>
        <v>1630.6340057636887</v>
      </c>
    </row>
    <row r="8" spans="1:31" ht="12">
      <c r="A8" s="27" t="s">
        <v>13</v>
      </c>
      <c r="B8" s="90">
        <f>+manip_rail!B13/(surface_area!B5-surface_area!D5-surface_area!J5)*1000</f>
        <v>27.264353500911135</v>
      </c>
      <c r="C8" s="90">
        <f>+manip_rail!C13/surface_area!C5*1000</f>
        <v>38.650737877723124</v>
      </c>
      <c r="D8" s="90">
        <f>+manip_rail!D13/surface_area!D5*1000</f>
        <v>0</v>
      </c>
      <c r="E8" s="90">
        <f>+manip_rail!E13/surface_area!E5*1000</f>
        <v>119.56990338041741</v>
      </c>
      <c r="F8" s="90">
        <f>+manip_rail!F13/surface_area!F5*1000</f>
        <v>21.403144139562652</v>
      </c>
      <c r="G8" s="90">
        <f>+manip_rail!G13/surface_area!G5*1000</f>
        <v>82.14554444802752</v>
      </c>
      <c r="H8" s="90">
        <f>+manip_rail!H13/surface_area!H5*1000</f>
        <v>37.3593026676369</v>
      </c>
      <c r="I8" s="90">
        <f>+manip_rail!I13/surface_area!I5*1000</f>
        <v>30.581929555895865</v>
      </c>
      <c r="J8" s="90">
        <f>+manip_rail!J13/surface_area!J5*1000</f>
        <v>0</v>
      </c>
      <c r="K8" s="90">
        <f>+manip_rail!K13/surface_area!K5*1000</f>
        <v>74.22805699026176</v>
      </c>
      <c r="L8" s="90">
        <f>+manip_rail!L13/surface_area!L5*1000</f>
        <v>46.18462945329312</v>
      </c>
      <c r="M8" s="90">
        <f>+manip_rail!M13/surface_area!M5*1000</f>
        <v>74.74100660739049</v>
      </c>
      <c r="N8" s="90">
        <f>+manip_rail!N13/surface_area!N5*1000</f>
        <v>59.29107424960506</v>
      </c>
      <c r="O8" s="90">
        <f>+manip_rail!O13/surface_area!O5*1000</f>
        <v>11.108458148074057</v>
      </c>
      <c r="P8" s="90">
        <f>+'manip_EU-infra'!B29/surface_area!Q5*1000</f>
        <v>47.015939148442094</v>
      </c>
      <c r="Q8" s="90">
        <f>+'manip_EU-infra'!C29/surface_area!R5*1000</f>
        <v>67.29232750602209</v>
      </c>
      <c r="R8" s="90">
        <f>+'manip_EU-infra'!D29/surface_area!S5*1000</f>
        <v>113.666142557652</v>
      </c>
      <c r="S8" s="90">
        <f>+'manip_EU-infra'!E29/surface_area!T5*1000</f>
        <v>52.53631596045853</v>
      </c>
      <c r="T8" s="90">
        <f>+'manip_EU-infra'!F29/surface_area!U5*1000</f>
        <v>17.35054488459093</v>
      </c>
      <c r="U8" s="90">
        <f>+'manip_EU-infra'!G29/surface_area!V5*1000</f>
        <v>57.60652765185856</v>
      </c>
      <c r="V8" s="90">
        <f>+'manip_EU-infra'!H29/surface_area!W5*1000</f>
        <v>106.78893737640819</v>
      </c>
      <c r="W8" s="90">
        <f>+'manip_EU-infra'!I29/surface_area!X5*1000</f>
        <v>17.422342126601848</v>
      </c>
      <c r="X8" s="90">
        <f>+'manip_EU-infra'!J29/surface_area!Y5*1000</f>
        <v>27.165483186999275</v>
      </c>
      <c r="Y8" s="90">
        <f>+'manip_EU-infra'!K29/surface_area!Z5*1000</f>
        <v>53.365547361923284</v>
      </c>
      <c r="Z8" s="90">
        <f>+'manip_EU-infra'!L29/surface_area!AA5*1000</f>
        <v>105.95514307811293</v>
      </c>
      <c r="AA8" s="90">
        <f>+'manip_EU-infra'!M29/surface_area!AB5*1000</f>
        <v>67.62028608582575</v>
      </c>
      <c r="AB8" s="90">
        <f>+'manip_EU-infra'!N29/surface_area!AC5*1000</f>
        <v>30.37550825161445</v>
      </c>
      <c r="AC8" s="90">
        <f>+'manip_EU-infra'!O29/surface_area!AD5*1000</f>
        <v>24.31461366978134</v>
      </c>
      <c r="AD8" s="90">
        <f>+'manip_EU-infra'!P29/surface_area!AE5*1000</f>
        <v>21.901752140171215</v>
      </c>
      <c r="AE8" s="90">
        <f>+'manip_EU-infra'!Q29/surface_area!AF5*1000</f>
        <v>69.9629477151091</v>
      </c>
    </row>
    <row r="9" spans="1:17" ht="12">
      <c r="A9" s="27"/>
      <c r="P9" s="27"/>
      <c r="Q9" s="27"/>
    </row>
    <row r="10" spans="1:17" ht="12">
      <c r="A10" s="27" t="s">
        <v>64</v>
      </c>
      <c r="B10" s="27" t="s">
        <v>217</v>
      </c>
      <c r="C10" s="27"/>
      <c r="D10" s="27"/>
      <c r="E10" s="27"/>
      <c r="P10" s="27"/>
      <c r="Q10" s="27"/>
    </row>
    <row r="11" spans="1:17" ht="12">
      <c r="A11" s="27"/>
      <c r="B11" s="27" t="s">
        <v>223</v>
      </c>
      <c r="C11" s="27"/>
      <c r="D11" s="27"/>
      <c r="E11" s="27"/>
      <c r="P11" s="27"/>
      <c r="Q11" s="27"/>
    </row>
    <row r="12" spans="1:19" ht="12">
      <c r="A12" s="27"/>
      <c r="B12" s="27"/>
      <c r="C12" s="41"/>
      <c r="D12" s="41"/>
      <c r="E12" s="41"/>
      <c r="F12" s="41"/>
      <c r="G12" s="41"/>
      <c r="H12" s="41"/>
      <c r="I12" s="41"/>
      <c r="J12" s="41"/>
      <c r="K12" s="41"/>
      <c r="L12" s="41"/>
      <c r="M12" s="41"/>
      <c r="N12" s="41"/>
      <c r="O12" s="41"/>
      <c r="P12" s="38"/>
      <c r="Q12" s="38"/>
      <c r="R12" s="38"/>
      <c r="S12" s="38"/>
    </row>
    <row r="13" spans="1:5" ht="12">
      <c r="A13" s="36" t="s">
        <v>218</v>
      </c>
      <c r="B13" s="27"/>
      <c r="C13" s="27"/>
      <c r="D13" s="27"/>
      <c r="E13" s="27"/>
    </row>
    <row r="14" spans="1:19" ht="12">
      <c r="A14" s="37" t="s">
        <v>219</v>
      </c>
      <c r="B14" s="40"/>
      <c r="C14" s="40"/>
      <c r="D14" s="27"/>
      <c r="E14" s="27"/>
      <c r="F14" s="27"/>
      <c r="G14" s="27"/>
      <c r="H14" s="27"/>
      <c r="I14" s="27"/>
      <c r="J14" s="27"/>
      <c r="K14" s="27"/>
      <c r="L14" s="27"/>
      <c r="M14" s="27"/>
      <c r="N14" s="27"/>
      <c r="O14" s="38"/>
      <c r="P14" s="38"/>
      <c r="Q14" s="38"/>
      <c r="R14" s="38"/>
      <c r="S14" s="38"/>
    </row>
    <row r="15" spans="1:17" ht="12">
      <c r="A15" s="27"/>
      <c r="B15" s="41"/>
      <c r="C15" s="41"/>
      <c r="D15" s="41"/>
      <c r="E15" s="41"/>
      <c r="F15" s="41"/>
      <c r="G15" s="41"/>
      <c r="H15" s="41"/>
      <c r="I15" s="41"/>
      <c r="J15" s="41"/>
      <c r="K15" s="41"/>
      <c r="L15" s="41"/>
      <c r="M15" s="41"/>
      <c r="N15" s="41"/>
      <c r="O15" s="41"/>
      <c r="P15" s="41"/>
      <c r="Q15" s="41"/>
    </row>
    <row r="16" spans="1:31" s="88" customFormat="1" ht="12">
      <c r="A16" s="39"/>
      <c r="B16" s="95" t="s">
        <v>28</v>
      </c>
      <c r="C16" s="95" t="s">
        <v>0</v>
      </c>
      <c r="D16" s="20" t="s">
        <v>29</v>
      </c>
      <c r="E16" s="95" t="s">
        <v>10</v>
      </c>
      <c r="F16" s="95" t="s">
        <v>2</v>
      </c>
      <c r="G16" s="95" t="s">
        <v>3</v>
      </c>
      <c r="H16" s="95" t="s">
        <v>4</v>
      </c>
      <c r="I16" s="95" t="s">
        <v>5</v>
      </c>
      <c r="J16" s="20" t="s">
        <v>30</v>
      </c>
      <c r="K16" s="95" t="s">
        <v>6</v>
      </c>
      <c r="L16" s="95" t="s">
        <v>7</v>
      </c>
      <c r="M16" s="95" t="s">
        <v>269</v>
      </c>
      <c r="N16" s="95" t="s">
        <v>9</v>
      </c>
      <c r="O16" s="21" t="s">
        <v>31</v>
      </c>
      <c r="P16" s="96" t="s">
        <v>68</v>
      </c>
      <c r="Q16" s="96" t="s">
        <v>49</v>
      </c>
      <c r="R16" s="96" t="s">
        <v>50</v>
      </c>
      <c r="S16" s="96" t="s">
        <v>51</v>
      </c>
      <c r="T16" s="96" t="s">
        <v>52</v>
      </c>
      <c r="U16" s="96" t="s">
        <v>53</v>
      </c>
      <c r="V16" s="96" t="s">
        <v>54</v>
      </c>
      <c r="W16" s="96" t="s">
        <v>55</v>
      </c>
      <c r="X16" s="96" t="s">
        <v>56</v>
      </c>
      <c r="Y16" s="96" t="s">
        <v>57</v>
      </c>
      <c r="Z16" s="96" t="s">
        <v>58</v>
      </c>
      <c r="AA16" s="96" t="s">
        <v>59</v>
      </c>
      <c r="AB16" s="96" t="s">
        <v>60</v>
      </c>
      <c r="AC16" s="96" t="s">
        <v>61</v>
      </c>
      <c r="AD16" s="96" t="s">
        <v>62</v>
      </c>
      <c r="AE16" s="96" t="s">
        <v>63</v>
      </c>
    </row>
    <row r="17" spans="1:31" ht="12">
      <c r="A17" s="27" t="s">
        <v>14</v>
      </c>
      <c r="B17" s="90">
        <f>+manip_road!B13/'[2]manip_POP'!B$14</f>
        <v>7.472526947714169</v>
      </c>
      <c r="C17" s="90">
        <f>+manip_road!C13/'[2]manip_POP'!C$14</f>
        <v>4.451974412319757</v>
      </c>
      <c r="D17" s="90">
        <f>+manip_road!D13/'[2]manip_POP'!D$14</f>
        <v>14.298313878080416</v>
      </c>
      <c r="E17" s="90">
        <f>+manip_road!E13/'[2]manip_POP'!E$14</f>
        <v>12.403565517555561</v>
      </c>
      <c r="F17" s="90">
        <f>+manip_road!F13/'[2]manip_POP'!F$14</f>
        <v>30.274288962221462</v>
      </c>
      <c r="G17" s="90">
        <f>+manip_road!G13/'[2]manip_POP'!G$14</f>
        <v>2.990535442294457</v>
      </c>
      <c r="H17" s="90">
        <f>+manip_road!H13/'[2]manip_POP'!H$14</f>
        <v>23.609552603510767</v>
      </c>
      <c r="I17" s="90">
        <f>+manip_road!I13/'[2]manip_POP'!I$14</f>
        <v>19.57081892826275</v>
      </c>
      <c r="J17" s="90">
        <f>+manip_road!J13/'[2]manip_POP'!J$14</f>
        <v>5.1328125</v>
      </c>
      <c r="K17" s="90">
        <f>+manip_road!K13/'[2]manip_POP'!K$14</f>
        <v>9.854807841514509</v>
      </c>
      <c r="L17" s="90">
        <f>+manip_road!L13/'[2]manip_POP'!L$14</f>
        <v>3.255594425281153</v>
      </c>
      <c r="M17" s="90">
        <f>+manip_road!M13/'[2]manip_POP'!M$14</f>
        <v>3.285371960646026</v>
      </c>
      <c r="N17" s="90">
        <f>+manip_road!N13/'[2]manip_POP'!N$14</f>
        <v>18.845931333706243</v>
      </c>
      <c r="O17" s="90">
        <f>+manip_road!O13/'[2]manip_POP'!O$14</f>
        <v>5.930566541044371</v>
      </c>
      <c r="P17" s="90">
        <f>+'manip_EU-infra'!B14/'[2]manip_POP'!Q$14</f>
        <v>10.371744157621823</v>
      </c>
      <c r="Q17" s="90">
        <f>+'manip_EU-infra'!C14/'[2]manip_POP'!R$14</f>
        <v>13.166017387743612</v>
      </c>
      <c r="R17" s="90">
        <f>+'manip_EU-infra'!D14/'[2]manip_POP'!S$14</f>
        <v>14.294804042102093</v>
      </c>
      <c r="S17" s="90">
        <f>+'manip_EU-infra'!E14/'[2]manip_POP'!T$14</f>
        <v>13.48007961814678</v>
      </c>
      <c r="T17" s="90">
        <f>+'manip_EU-infra'!F14/'[2]manip_POP'!U$14</f>
        <v>15.114782231408649</v>
      </c>
      <c r="U17" s="90">
        <f>+'manip_EU-infra'!G14/'[2]manip_POP'!V$14</f>
        <v>16.658563383676775</v>
      </c>
      <c r="V17" s="90">
        <f>+'manip_EU-infra'!H14/'[2]manip_POP'!W$14</f>
        <v>7.912913961945653</v>
      </c>
      <c r="W17" s="90">
        <f>+'manip_EU-infra'!I14/'[2]manip_POP'!X$14</f>
        <v>3.671039977117571</v>
      </c>
      <c r="X17" s="90">
        <f>+'manip_EU-infra'!J14/'[2]manip_POP'!Y$14</f>
        <v>25.867248530181023</v>
      </c>
      <c r="Y17" s="90">
        <f>+'manip_EU-infra'!K14/'[2]manip_POP'!Z$14</f>
        <v>14.499954063771991</v>
      </c>
      <c r="Z17" s="90">
        <f>+'manip_EU-infra'!L14/'[2]manip_POP'!AA$14</f>
        <v>13.015833123900478</v>
      </c>
      <c r="AA17" s="90">
        <f>+'manip_EU-infra'!M14/'[2]manip_POP'!AB$14</f>
        <v>7.391064828894808</v>
      </c>
      <c r="AB17" s="90">
        <f>+'manip_EU-infra'!N14/'[2]manip_POP'!AC$14</f>
        <v>6.898827891448542</v>
      </c>
      <c r="AC17" s="90">
        <f>+'manip_EU-infra'!O14/'[2]manip_POP'!AD$14</f>
        <v>4.14702167554326</v>
      </c>
      <c r="AD17" s="90">
        <f>+'manip_EU-infra'!P14/'[2]manip_POP'!AE$14</f>
        <v>15.595119813932342</v>
      </c>
      <c r="AE17" s="90">
        <f>+'manip_EU-infra'!Q14/'[2]manip_POP'!AF$14</f>
        <v>6.69869204342909</v>
      </c>
    </row>
    <row r="18" spans="1:31" ht="12">
      <c r="A18" s="27" t="s">
        <v>13</v>
      </c>
      <c r="B18" s="92">
        <f>+manip_rail!B13/('[2]manip_POP'!$B$14-'[2]manip_POP'!$D$14-'[2]manip_POP'!$J$14)</f>
        <v>0.29846247962723765</v>
      </c>
      <c r="C18" s="92">
        <f>+manip_rail!C13/'[2]manip_POP'!C$14</f>
        <v>0.5195726278966174</v>
      </c>
      <c r="D18" s="92">
        <f>+manip_rail!D13/'[2]manip_POP'!D$14</f>
        <v>0</v>
      </c>
      <c r="E18" s="92">
        <f>+manip_rail!E13/'[2]manip_POP'!E$14</f>
        <v>0.9159837019010207</v>
      </c>
      <c r="F18" s="92">
        <f>+manip_rail!F13/'[2]manip_POP'!F$14</f>
        <v>0.6677188296709967</v>
      </c>
      <c r="G18" s="92">
        <f>+manip_rail!G13/'[2]manip_POP'!G$14</f>
        <v>0.7556181798649112</v>
      </c>
      <c r="H18" s="92">
        <f>+manip_rail!H13/'[2]manip_POP'!H$14</f>
        <v>0.9853307003402311</v>
      </c>
      <c r="I18" s="92">
        <f>+manip_rail!I13/'[2]manip_POP'!I$14</f>
        <v>0.5393798617113224</v>
      </c>
      <c r="J18" s="92">
        <f>+manip_rail!J13/'[2]manip_POP'!J$14</f>
        <v>0</v>
      </c>
      <c r="K18" s="92">
        <f>+manip_rail!K13/'[2]manip_POP'!K$14</f>
        <v>0.6002689701546579</v>
      </c>
      <c r="L18" s="92">
        <f>+manip_rail!L13/'[2]manip_POP'!L$14</f>
        <v>0.48927238086739683</v>
      </c>
      <c r="M18" s="92">
        <f>+manip_rail!M13/'[2]manip_POP'!M$14</f>
        <v>0.6798536635857764</v>
      </c>
      <c r="N18" s="92">
        <f>+manip_rail!N13/'[2]manip_POP'!N$14</f>
        <v>0.6057692841178995</v>
      </c>
      <c r="O18" s="92">
        <f>+manip_rail!O13/'[2]manip_POP'!O$14</f>
        <v>0.1334853208021216</v>
      </c>
      <c r="P18" s="92">
        <f>+'manip_EU-infra'!B29/'[2]manip_POP'!Q$14</f>
        <v>0.4067340187780839</v>
      </c>
      <c r="Q18" s="92">
        <f>+'manip_EU-infra'!C29/'[2]manip_POP'!R$14</f>
        <v>0.6985251748200675</v>
      </c>
      <c r="R18" s="92">
        <f>+'manip_EU-infra'!D29/'[2]manip_POP'!S$14</f>
        <v>0.3400957835179586</v>
      </c>
      <c r="S18" s="92">
        <f>+'manip_EU-infra'!E29/'[2]manip_POP'!T$14</f>
        <v>0.42706473727973343</v>
      </c>
      <c r="T18" s="92">
        <f>+'manip_EU-infra'!F29/'[2]manip_POP'!U$14</f>
        <v>1.1384500391772734</v>
      </c>
      <c r="U18" s="92">
        <f>+'manip_EU-infra'!G29/'[2]manip_POP'!V$14</f>
        <v>0.5398412622001874</v>
      </c>
      <c r="V18" s="92">
        <f>+'manip_EU-infra'!H29/'[2]manip_POP'!W$14</f>
        <v>0.4647871439822335</v>
      </c>
      <c r="W18" s="92">
        <f>+'manip_EU-infra'!I29/'[2]manip_POP'!X$14</f>
        <v>0.21861163827885033</v>
      </c>
      <c r="X18" s="92">
        <f>+'manip_EU-infra'!J29/'[2]manip_POP'!Y$14</f>
        <v>0.515266629562431</v>
      </c>
      <c r="Y18" s="92">
        <f>+'manip_EU-infra'!K29/'[2]manip_POP'!Z$14</f>
        <v>0.27931727978112364</v>
      </c>
      <c r="Z18" s="92">
        <f>+'manip_EU-infra'!L29/'[2]manip_POP'!AA$14</f>
        <v>0.6886152299572758</v>
      </c>
      <c r="AA18" s="92">
        <f>+'manip_EU-infra'!M29/'[2]manip_POP'!AB$14</f>
        <v>0.17877141636047497</v>
      </c>
      <c r="AB18" s="92">
        <f>+'manip_EU-infra'!N29/'[2]manip_POP'!AC$14</f>
        <v>0.28028682752228046</v>
      </c>
      <c r="AC18" s="92">
        <f>+'manip_EU-infra'!O29/'[2]manip_POP'!AD$14</f>
        <v>0.3124877210206754</v>
      </c>
      <c r="AD18" s="92">
        <f>+'manip_EU-infra'!P29/'[2]manip_POP'!AE$14</f>
        <v>1.1134367810819465</v>
      </c>
      <c r="AE18" s="92">
        <f>+'manip_EU-infra'!Q29/'[2]manip_POP'!AF$14</f>
        <v>0.28740982926733155</v>
      </c>
    </row>
    <row r="19" spans="1:5" ht="12">
      <c r="A19" s="27"/>
      <c r="B19" s="27"/>
      <c r="C19" s="27"/>
      <c r="D19" s="27"/>
      <c r="E19" s="27"/>
    </row>
    <row r="20" spans="1:2" ht="12">
      <c r="A20" s="27" t="s">
        <v>64</v>
      </c>
      <c r="B20" s="27" t="s">
        <v>217</v>
      </c>
    </row>
    <row r="21" spans="1:2" ht="12">
      <c r="A21" s="27"/>
      <c r="B21" s="27" t="s">
        <v>223</v>
      </c>
    </row>
    <row r="22" ht="12"/>
    <row r="23" ht="12">
      <c r="A23" s="98" t="s">
        <v>229</v>
      </c>
    </row>
    <row r="24" ht="12"/>
    <row r="25" spans="2:31" ht="12">
      <c r="B25" s="95" t="s">
        <v>28</v>
      </c>
      <c r="C25" s="95" t="s">
        <v>0</v>
      </c>
      <c r="D25" s="20" t="s">
        <v>29</v>
      </c>
      <c r="E25" s="95" t="s">
        <v>10</v>
      </c>
      <c r="F25" s="95" t="s">
        <v>2</v>
      </c>
      <c r="G25" s="95" t="s">
        <v>3</v>
      </c>
      <c r="H25" s="95" t="s">
        <v>4</v>
      </c>
      <c r="I25" s="95" t="s">
        <v>5</v>
      </c>
      <c r="J25" s="20" t="s">
        <v>30</v>
      </c>
      <c r="K25" s="95" t="s">
        <v>6</v>
      </c>
      <c r="L25" s="95" t="s">
        <v>7</v>
      </c>
      <c r="M25" s="95" t="s">
        <v>269</v>
      </c>
      <c r="N25" s="95" t="s">
        <v>9</v>
      </c>
      <c r="O25" s="21" t="s">
        <v>31</v>
      </c>
      <c r="P25" s="96" t="s">
        <v>68</v>
      </c>
      <c r="Q25" s="96" t="s">
        <v>49</v>
      </c>
      <c r="R25" s="96" t="s">
        <v>50</v>
      </c>
      <c r="S25" s="96" t="s">
        <v>51</v>
      </c>
      <c r="T25" s="96" t="s">
        <v>52</v>
      </c>
      <c r="U25" s="96" t="s">
        <v>53</v>
      </c>
      <c r="V25" s="96" t="s">
        <v>54</v>
      </c>
      <c r="W25" s="96" t="s">
        <v>55</v>
      </c>
      <c r="X25" s="96" t="s">
        <v>56</v>
      </c>
      <c r="Y25" s="96" t="s">
        <v>57</v>
      </c>
      <c r="Z25" s="96" t="s">
        <v>58</v>
      </c>
      <c r="AA25" s="96" t="s">
        <v>59</v>
      </c>
      <c r="AB25" s="96" t="s">
        <v>60</v>
      </c>
      <c r="AC25" s="96" t="s">
        <v>61</v>
      </c>
      <c r="AD25" s="96" t="s">
        <v>62</v>
      </c>
      <c r="AE25" s="96" t="s">
        <v>63</v>
      </c>
    </row>
    <row r="26" spans="1:31" ht="12">
      <c r="A26" s="87" t="s">
        <v>88</v>
      </c>
      <c r="B26" s="90">
        <f>+B7/$B7*100</f>
        <v>100</v>
      </c>
      <c r="C26" s="90">
        <f aca="true" t="shared" si="0" ref="C26:AE26">+C7/$B7*100</f>
        <v>48.436693571248995</v>
      </c>
      <c r="D26" s="90">
        <f t="shared" si="0"/>
        <v>174.2853277370483</v>
      </c>
      <c r="E26" s="90">
        <f t="shared" si="0"/>
        <v>236.80506149628525</v>
      </c>
      <c r="F26" s="90">
        <f t="shared" si="0"/>
        <v>141.9280410317888</v>
      </c>
      <c r="G26" s="90">
        <f t="shared" si="0"/>
        <v>47.54894350172206</v>
      </c>
      <c r="H26" s="90">
        <f t="shared" si="0"/>
        <v>130.922656247539</v>
      </c>
      <c r="I26" s="90">
        <f t="shared" si="0"/>
        <v>162.2891399186909</v>
      </c>
      <c r="J26" s="90">
        <f t="shared" si="0"/>
        <v>912.2415421447854</v>
      </c>
      <c r="K26" s="90">
        <f t="shared" si="0"/>
        <v>178.2299408245928</v>
      </c>
      <c r="L26" s="90">
        <f t="shared" si="0"/>
        <v>44.94561866363444</v>
      </c>
      <c r="M26" s="90">
        <f t="shared" si="0"/>
        <v>52.824859486999756</v>
      </c>
      <c r="N26" s="90">
        <f t="shared" si="0"/>
        <v>269.7801419832359</v>
      </c>
      <c r="O26" s="90">
        <f t="shared" si="0"/>
        <v>72.18164253583578</v>
      </c>
      <c r="P26" s="90">
        <f t="shared" si="0"/>
        <v>175.34634472297682</v>
      </c>
      <c r="Q26" s="90">
        <f t="shared" si="0"/>
        <v>185.5018372778166</v>
      </c>
      <c r="R26" s="90">
        <f t="shared" si="0"/>
        <v>698.7444707179376</v>
      </c>
      <c r="S26" s="90">
        <f t="shared" si="0"/>
        <v>242.53178498519063</v>
      </c>
      <c r="T26" s="90">
        <f t="shared" si="0"/>
        <v>33.69080127160329</v>
      </c>
      <c r="U26" s="90">
        <f t="shared" si="0"/>
        <v>259.9881005748565</v>
      </c>
      <c r="V26" s="90">
        <f t="shared" si="0"/>
        <v>265.9003478607046</v>
      </c>
      <c r="W26" s="90">
        <f t="shared" si="0"/>
        <v>42.78905318425375</v>
      </c>
      <c r="X26" s="90">
        <f t="shared" si="0"/>
        <v>199.45547256254196</v>
      </c>
      <c r="Y26" s="90">
        <f t="shared" si="0"/>
        <v>405.17262454467664</v>
      </c>
      <c r="Z26" s="90">
        <f t="shared" si="0"/>
        <v>292.9056130557112</v>
      </c>
      <c r="AA26" s="90">
        <f t="shared" si="0"/>
        <v>408.88034868180495</v>
      </c>
      <c r="AB26" s="90">
        <f t="shared" si="0"/>
        <v>109.34690114817435</v>
      </c>
      <c r="AC26" s="90">
        <f t="shared" si="0"/>
        <v>47.19337383289912</v>
      </c>
      <c r="AD26" s="90">
        <f t="shared" si="0"/>
        <v>44.86547971283892</v>
      </c>
      <c r="AE26" s="90">
        <f t="shared" si="0"/>
        <v>238.48814678282318</v>
      </c>
    </row>
    <row r="27" spans="1:31" ht="12">
      <c r="A27" s="87" t="s">
        <v>228</v>
      </c>
      <c r="B27" s="90">
        <f>+B17/$B17*100</f>
        <v>100</v>
      </c>
      <c r="C27" s="90">
        <f aca="true" t="shared" si="1" ref="C27:AE27">+C17/$B17*100</f>
        <v>59.57789705504651</v>
      </c>
      <c r="D27" s="90">
        <f t="shared" si="1"/>
        <v>191.34509621881313</v>
      </c>
      <c r="E27" s="90">
        <f t="shared" si="1"/>
        <v>165.98890314272853</v>
      </c>
      <c r="F27" s="90">
        <f t="shared" si="1"/>
        <v>405.1412483896402</v>
      </c>
      <c r="G27" s="90">
        <f t="shared" si="1"/>
        <v>40.02040358260944</v>
      </c>
      <c r="H27" s="90">
        <f t="shared" si="1"/>
        <v>315.9513879134673</v>
      </c>
      <c r="I27" s="90">
        <f t="shared" si="1"/>
        <v>261.90362463998105</v>
      </c>
      <c r="J27" s="90">
        <f t="shared" si="1"/>
        <v>68.68911328008147</v>
      </c>
      <c r="K27" s="90">
        <f t="shared" si="1"/>
        <v>131.88052596490235</v>
      </c>
      <c r="L27" s="90">
        <f t="shared" si="1"/>
        <v>43.56751669228885</v>
      </c>
      <c r="M27" s="90">
        <f t="shared" si="1"/>
        <v>43.966010208247084</v>
      </c>
      <c r="N27" s="90">
        <f t="shared" si="1"/>
        <v>252.20292232564216</v>
      </c>
      <c r="O27" s="90">
        <f t="shared" si="1"/>
        <v>79.36494016737564</v>
      </c>
      <c r="P27" s="90">
        <f t="shared" si="1"/>
        <v>138.7983506810172</v>
      </c>
      <c r="Q27" s="90">
        <f t="shared" si="1"/>
        <v>176.1923038868541</v>
      </c>
      <c r="R27" s="90">
        <f t="shared" si="1"/>
        <v>191.29812635168676</v>
      </c>
      <c r="S27" s="90">
        <f t="shared" si="1"/>
        <v>180.39519579478144</v>
      </c>
      <c r="T27" s="90">
        <f t="shared" si="1"/>
        <v>202.27136465573042</v>
      </c>
      <c r="U27" s="90">
        <f t="shared" si="1"/>
        <v>222.93079035027898</v>
      </c>
      <c r="V27" s="90">
        <f t="shared" si="1"/>
        <v>105.89341486906511</v>
      </c>
      <c r="W27" s="90">
        <f t="shared" si="1"/>
        <v>49.12715608527226</v>
      </c>
      <c r="X27" s="90">
        <f t="shared" si="1"/>
        <v>346.1646737599757</v>
      </c>
      <c r="Y27" s="90">
        <f t="shared" si="1"/>
        <v>194.0435165403786</v>
      </c>
      <c r="Z27" s="90">
        <f t="shared" si="1"/>
        <v>174.18248492074017</v>
      </c>
      <c r="AA27" s="90">
        <f t="shared" si="1"/>
        <v>98.90984509805911</v>
      </c>
      <c r="AB27" s="90">
        <f t="shared" si="1"/>
        <v>92.32255620782847</v>
      </c>
      <c r="AC27" s="90">
        <f t="shared" si="1"/>
        <v>55.49691161450847</v>
      </c>
      <c r="AD27" s="90">
        <f t="shared" si="1"/>
        <v>208.699412167431</v>
      </c>
      <c r="AE27" s="90">
        <f t="shared" si="1"/>
        <v>89.64426746534794</v>
      </c>
    </row>
    <row r="28" ht="12"/>
    <row r="29" ht="12">
      <c r="A29" s="98" t="s">
        <v>230</v>
      </c>
    </row>
    <row r="30" ht="12"/>
    <row r="31" spans="2:31" ht="12">
      <c r="B31" s="95" t="s">
        <v>28</v>
      </c>
      <c r="C31" s="95" t="s">
        <v>0</v>
      </c>
      <c r="D31" s="20" t="s">
        <v>29</v>
      </c>
      <c r="E31" s="95" t="s">
        <v>10</v>
      </c>
      <c r="F31" s="95" t="s">
        <v>2</v>
      </c>
      <c r="G31" s="95" t="s">
        <v>3</v>
      </c>
      <c r="H31" s="95" t="s">
        <v>4</v>
      </c>
      <c r="I31" s="95" t="s">
        <v>5</v>
      </c>
      <c r="J31" s="20" t="s">
        <v>30</v>
      </c>
      <c r="K31" s="95" t="s">
        <v>6</v>
      </c>
      <c r="L31" s="95" t="s">
        <v>7</v>
      </c>
      <c r="M31" s="95" t="s">
        <v>269</v>
      </c>
      <c r="N31" s="95" t="s">
        <v>9</v>
      </c>
      <c r="O31" s="21" t="s">
        <v>31</v>
      </c>
      <c r="P31" s="96" t="s">
        <v>68</v>
      </c>
      <c r="Q31" s="96" t="s">
        <v>49</v>
      </c>
      <c r="R31" s="96" t="s">
        <v>50</v>
      </c>
      <c r="S31" s="96" t="s">
        <v>51</v>
      </c>
      <c r="T31" s="96" t="s">
        <v>52</v>
      </c>
      <c r="U31" s="96" t="s">
        <v>53</v>
      </c>
      <c r="V31" s="96" t="s">
        <v>54</v>
      </c>
      <c r="W31" s="96" t="s">
        <v>55</v>
      </c>
      <c r="X31" s="96" t="s">
        <v>56</v>
      </c>
      <c r="Y31" s="96" t="s">
        <v>57</v>
      </c>
      <c r="Z31" s="96" t="s">
        <v>58</v>
      </c>
      <c r="AA31" s="96" t="s">
        <v>59</v>
      </c>
      <c r="AB31" s="96" t="s">
        <v>60</v>
      </c>
      <c r="AC31" s="96" t="s">
        <v>61</v>
      </c>
      <c r="AD31" s="96" t="s">
        <v>62</v>
      </c>
      <c r="AE31" s="96" t="s">
        <v>63</v>
      </c>
    </row>
    <row r="32" spans="1:31" ht="12">
      <c r="A32" s="87" t="s">
        <v>88</v>
      </c>
      <c r="B32" s="90">
        <f>+B8/$B8*100</f>
        <v>100</v>
      </c>
      <c r="C32" s="90">
        <f aca="true" t="shared" si="2" ref="C32:AE32">+C8/$B8*100</f>
        <v>141.76289885777587</v>
      </c>
      <c r="D32" s="90">
        <f t="shared" si="2"/>
        <v>0</v>
      </c>
      <c r="E32" s="90">
        <f t="shared" si="2"/>
        <v>438.55763305160184</v>
      </c>
      <c r="F32" s="90">
        <f t="shared" si="2"/>
        <v>78.50229839063446</v>
      </c>
      <c r="G32" s="90">
        <f t="shared" si="2"/>
        <v>301.29283808355234</v>
      </c>
      <c r="H32" s="90">
        <f t="shared" si="2"/>
        <v>137.02618206732248</v>
      </c>
      <c r="I32" s="90">
        <f t="shared" si="2"/>
        <v>112.16818163274571</v>
      </c>
      <c r="J32" s="90">
        <f t="shared" si="2"/>
        <v>0</v>
      </c>
      <c r="K32" s="90">
        <f t="shared" si="2"/>
        <v>272.25313443717334</v>
      </c>
      <c r="L32" s="90">
        <f t="shared" si="2"/>
        <v>169.39565228183275</v>
      </c>
      <c r="M32" s="90">
        <f t="shared" si="2"/>
        <v>274.1345273596631</v>
      </c>
      <c r="N32" s="90">
        <f t="shared" si="2"/>
        <v>217.46737639542283</v>
      </c>
      <c r="O32" s="90">
        <f t="shared" si="2"/>
        <v>40.74352303164947</v>
      </c>
      <c r="P32" s="90">
        <f t="shared" si="2"/>
        <v>172.44472401251286</v>
      </c>
      <c r="Q32" s="90">
        <f t="shared" si="2"/>
        <v>246.81431563661792</v>
      </c>
      <c r="R32" s="90">
        <f t="shared" si="2"/>
        <v>416.90386149759036</v>
      </c>
      <c r="S32" s="90">
        <f t="shared" si="2"/>
        <v>192.69232244477334</v>
      </c>
      <c r="T32" s="90">
        <f t="shared" si="2"/>
        <v>63.63820394278229</v>
      </c>
      <c r="U32" s="90">
        <f t="shared" si="2"/>
        <v>211.2888084800303</v>
      </c>
      <c r="V32" s="90">
        <f t="shared" si="2"/>
        <v>391.6796977153317</v>
      </c>
      <c r="W32" s="90">
        <f t="shared" si="2"/>
        <v>63.9015413514926</v>
      </c>
      <c r="X32" s="90">
        <f t="shared" si="2"/>
        <v>99.63736417256857</v>
      </c>
      <c r="Y32" s="90">
        <f t="shared" si="2"/>
        <v>195.73377142480157</v>
      </c>
      <c r="Z32" s="90">
        <f t="shared" si="2"/>
        <v>388.6215129750722</v>
      </c>
      <c r="AA32" s="90">
        <f t="shared" si="2"/>
        <v>248.0171997607278</v>
      </c>
      <c r="AB32" s="90">
        <f t="shared" si="2"/>
        <v>111.41107105510257</v>
      </c>
      <c r="AC32" s="90">
        <f t="shared" si="2"/>
        <v>89.18096542787556</v>
      </c>
      <c r="AD32" s="90">
        <f t="shared" si="2"/>
        <v>80.33108923503097</v>
      </c>
      <c r="AE32" s="90">
        <f t="shared" si="2"/>
        <v>256.6095972632215</v>
      </c>
    </row>
    <row r="33" spans="1:31" ht="12">
      <c r="A33" s="87" t="s">
        <v>228</v>
      </c>
      <c r="B33" s="90">
        <f>+B18/$B18*100</f>
        <v>100</v>
      </c>
      <c r="C33" s="90">
        <f aca="true" t="shared" si="3" ref="C33:AE33">+C18/$B18*100</f>
        <v>174.08306348775682</v>
      </c>
      <c r="D33" s="90">
        <f t="shared" si="3"/>
        <v>0</v>
      </c>
      <c r="E33" s="90">
        <f t="shared" si="3"/>
        <v>306.90078801363285</v>
      </c>
      <c r="F33" s="90">
        <f t="shared" si="3"/>
        <v>223.7195209612072</v>
      </c>
      <c r="G33" s="90">
        <f t="shared" si="3"/>
        <v>253.17024130089467</v>
      </c>
      <c r="H33" s="90">
        <f t="shared" si="3"/>
        <v>330.1355338100963</v>
      </c>
      <c r="I33" s="90">
        <f t="shared" si="3"/>
        <v>180.71948687988404</v>
      </c>
      <c r="J33" s="90">
        <f t="shared" si="3"/>
        <v>0</v>
      </c>
      <c r="K33" s="90">
        <f t="shared" si="3"/>
        <v>201.12041249015925</v>
      </c>
      <c r="L33" s="90">
        <f t="shared" si="3"/>
        <v>163.93095087813708</v>
      </c>
      <c r="M33" s="90">
        <f t="shared" si="3"/>
        <v>227.78530300856383</v>
      </c>
      <c r="N33" s="90">
        <f t="shared" si="3"/>
        <v>202.96329537785462</v>
      </c>
      <c r="O33" s="90">
        <f t="shared" si="3"/>
        <v>44.72432212210963</v>
      </c>
      <c r="P33" s="90">
        <f t="shared" si="3"/>
        <v>136.27643222895927</v>
      </c>
      <c r="Q33" s="90">
        <f t="shared" si="3"/>
        <v>234.04120199379332</v>
      </c>
      <c r="R33" s="90">
        <f t="shared" si="3"/>
        <v>113.94925886252723</v>
      </c>
      <c r="S33" s="90">
        <f t="shared" si="3"/>
        <v>143.0882494218746</v>
      </c>
      <c r="T33" s="90">
        <f t="shared" si="3"/>
        <v>381.4382432924673</v>
      </c>
      <c r="U33" s="90">
        <f t="shared" si="3"/>
        <v>180.87407933969382</v>
      </c>
      <c r="V33" s="90">
        <f t="shared" si="3"/>
        <v>155.72716026574787</v>
      </c>
      <c r="W33" s="90">
        <f t="shared" si="3"/>
        <v>73.24593649154278</v>
      </c>
      <c r="X33" s="90">
        <f t="shared" si="3"/>
        <v>172.64033663660808</v>
      </c>
      <c r="Y33" s="90">
        <f t="shared" si="3"/>
        <v>93.5853914133444</v>
      </c>
      <c r="Z33" s="90">
        <f t="shared" si="3"/>
        <v>230.72087011316006</v>
      </c>
      <c r="AA33" s="90">
        <f t="shared" si="3"/>
        <v>59.897450622185445</v>
      </c>
      <c r="AB33" s="90">
        <f t="shared" si="3"/>
        <v>93.91023885894886</v>
      </c>
      <c r="AC33" s="90">
        <f t="shared" si="3"/>
        <v>104.6991639990911</v>
      </c>
      <c r="AD33" s="90">
        <f t="shared" si="3"/>
        <v>373.0575389149633</v>
      </c>
      <c r="AE33" s="90">
        <f t="shared" si="3"/>
        <v>96.29680408280792</v>
      </c>
    </row>
    <row r="34" ht="12"/>
    <row r="35" spans="1:10" ht="12">
      <c r="A35" s="98" t="s">
        <v>226</v>
      </c>
      <c r="J35" s="98" t="s">
        <v>226</v>
      </c>
    </row>
    <row r="36" spans="2:12" ht="12">
      <c r="B36" s="87" t="s">
        <v>90</v>
      </c>
      <c r="C36" s="87" t="s">
        <v>89</v>
      </c>
      <c r="K36" s="87" t="s">
        <v>90</v>
      </c>
      <c r="L36" s="87" t="s">
        <v>89</v>
      </c>
    </row>
    <row r="37" spans="1:12" ht="12">
      <c r="A37" s="87" t="s">
        <v>28</v>
      </c>
      <c r="B37" s="101">
        <f>+$B27</f>
        <v>100</v>
      </c>
      <c r="C37" s="101">
        <f>+$B26</f>
        <v>100</v>
      </c>
      <c r="J37" s="87" t="s">
        <v>242</v>
      </c>
      <c r="K37" s="101">
        <f>+$B33</f>
        <v>100</v>
      </c>
      <c r="L37" s="101">
        <f>+$B32</f>
        <v>100</v>
      </c>
    </row>
    <row r="38" spans="1:12" ht="12">
      <c r="A38" s="87" t="s">
        <v>68</v>
      </c>
      <c r="B38" s="101">
        <f>+$P27</f>
        <v>138.7983506810172</v>
      </c>
      <c r="C38" s="101">
        <f>+$P26</f>
        <v>175.34634472297682</v>
      </c>
      <c r="J38" s="87" t="s">
        <v>68</v>
      </c>
      <c r="K38" s="101">
        <f>+$P33</f>
        <v>136.27643222895927</v>
      </c>
      <c r="L38" s="101">
        <f>+$P32</f>
        <v>172.44472401251286</v>
      </c>
    </row>
    <row r="39" spans="1:12" ht="12">
      <c r="A39" s="87" t="s">
        <v>52</v>
      </c>
      <c r="B39" s="101">
        <f>+$T27</f>
        <v>202.27136465573042</v>
      </c>
      <c r="C39" s="101">
        <f>+$T26</f>
        <v>33.69080127160329</v>
      </c>
      <c r="J39" s="87" t="s">
        <v>52</v>
      </c>
      <c r="K39" s="101">
        <f>+$T33</f>
        <v>381.4382432924673</v>
      </c>
      <c r="L39" s="101">
        <f>+$T32</f>
        <v>63.63820394278229</v>
      </c>
    </row>
    <row r="40" spans="1:12" ht="12">
      <c r="A40" s="87" t="s">
        <v>62</v>
      </c>
      <c r="B40" s="101">
        <f>+$AD27</f>
        <v>208.699412167431</v>
      </c>
      <c r="C40" s="101">
        <f>+$AD26</f>
        <v>44.86547971283892</v>
      </c>
      <c r="J40" s="87" t="s">
        <v>62</v>
      </c>
      <c r="K40" s="101">
        <f>+$AD33</f>
        <v>373.0575389149633</v>
      </c>
      <c r="L40" s="101">
        <f>+$AD32</f>
        <v>80.33108923503097</v>
      </c>
    </row>
    <row r="41" spans="1:12" ht="12">
      <c r="A41" s="87" t="s">
        <v>2</v>
      </c>
      <c r="B41" s="101">
        <f>+$F27</f>
        <v>405.1412483896402</v>
      </c>
      <c r="C41" s="101">
        <f>+$F26</f>
        <v>141.9280410317888</v>
      </c>
      <c r="J41" s="87" t="s">
        <v>2</v>
      </c>
      <c r="K41" s="101">
        <f>+$F33</f>
        <v>223.7195209612072</v>
      </c>
      <c r="L41" s="101">
        <f>+$F32</f>
        <v>78.50229839063446</v>
      </c>
    </row>
    <row r="42" spans="1:12" ht="12.75">
      <c r="A42" s="87" t="s">
        <v>4</v>
      </c>
      <c r="B42" s="101">
        <f>+$H27</f>
        <v>315.9513879134673</v>
      </c>
      <c r="C42" s="101">
        <f>+$H26</f>
        <v>130.922656247539</v>
      </c>
      <c r="J42" s="87" t="s">
        <v>4</v>
      </c>
      <c r="K42" s="101">
        <f>+$H33</f>
        <v>330.1355338100963</v>
      </c>
      <c r="L42" s="101">
        <f>+$H32</f>
        <v>137.02618206732248</v>
      </c>
    </row>
    <row r="43" spans="1:12" ht="12.75">
      <c r="A43" s="87" t="s">
        <v>56</v>
      </c>
      <c r="B43" s="101">
        <f>+$X27</f>
        <v>346.1646737599757</v>
      </c>
      <c r="C43" s="101">
        <f>+$X26</f>
        <v>199.45547256254196</v>
      </c>
      <c r="J43" s="87" t="s">
        <v>56</v>
      </c>
      <c r="K43" s="101">
        <f>+$X33</f>
        <v>172.64033663660808</v>
      </c>
      <c r="L43" s="101">
        <f>+$X32</f>
        <v>99.63736417256857</v>
      </c>
    </row>
    <row r="44" spans="1:12" ht="12.75">
      <c r="A44" s="87" t="s">
        <v>5</v>
      </c>
      <c r="B44" s="101">
        <f>+$I27</f>
        <v>261.90362463998105</v>
      </c>
      <c r="C44" s="101">
        <f>+$I26</f>
        <v>162.2891399186909</v>
      </c>
      <c r="J44" s="87" t="s">
        <v>5</v>
      </c>
      <c r="K44" s="101">
        <f>+$I33</f>
        <v>180.71948687988404</v>
      </c>
      <c r="L44" s="101">
        <f>+$I32</f>
        <v>112.16818163274571</v>
      </c>
    </row>
    <row r="45" spans="1:12" ht="12.75">
      <c r="A45" s="87" t="s">
        <v>0</v>
      </c>
      <c r="B45" s="101">
        <f>+$C27</f>
        <v>59.57789705504651</v>
      </c>
      <c r="C45" s="101">
        <f>+$C26</f>
        <v>48.436693571248995</v>
      </c>
      <c r="J45" s="87" t="s">
        <v>0</v>
      </c>
      <c r="K45" s="101">
        <f>+$C33</f>
        <v>174.08306348775682</v>
      </c>
      <c r="L45" s="101">
        <f>+$C32</f>
        <v>141.76289885777587</v>
      </c>
    </row>
    <row r="46" spans="1:12" ht="12.75">
      <c r="A46" s="87" t="s">
        <v>61</v>
      </c>
      <c r="B46" s="101">
        <f>+$AC27</f>
        <v>55.49691161450847</v>
      </c>
      <c r="C46" s="101">
        <f>+$AC26</f>
        <v>47.19337383289912</v>
      </c>
      <c r="J46" s="87" t="s">
        <v>61</v>
      </c>
      <c r="K46" s="101">
        <f>+$AC33</f>
        <v>104.6991639990911</v>
      </c>
      <c r="L46" s="101">
        <f>+$AC32</f>
        <v>89.18096542787556</v>
      </c>
    </row>
    <row r="47" spans="1:12" ht="12.75">
      <c r="A47" s="87" t="s">
        <v>55</v>
      </c>
      <c r="B47" s="101">
        <f>+$W27</f>
        <v>49.12715608527226</v>
      </c>
      <c r="C47" s="101">
        <f>+$W26</f>
        <v>42.78905318425375</v>
      </c>
      <c r="J47" s="87" t="s">
        <v>55</v>
      </c>
      <c r="K47" s="101">
        <f>+$W33</f>
        <v>73.24593649154278</v>
      </c>
      <c r="L47" s="101">
        <f>+$W32</f>
        <v>63.9015413514926</v>
      </c>
    </row>
    <row r="48" spans="1:12" ht="12.75">
      <c r="A48" s="87" t="s">
        <v>31</v>
      </c>
      <c r="B48" s="101">
        <f>+$O27</f>
        <v>79.36494016737564</v>
      </c>
      <c r="C48" s="101">
        <f>+$O26</f>
        <v>72.18164253583578</v>
      </c>
      <c r="J48" s="87" t="s">
        <v>31</v>
      </c>
      <c r="K48" s="101">
        <f>+$O33</f>
        <v>44.72432212210963</v>
      </c>
      <c r="L48" s="101">
        <f>+$O32</f>
        <v>40.74352303164947</v>
      </c>
    </row>
    <row r="49" spans="1:12" ht="12.75">
      <c r="A49" s="87" t="s">
        <v>29</v>
      </c>
      <c r="B49" s="101">
        <f>+$D27</f>
        <v>191.34509621881313</v>
      </c>
      <c r="C49" s="101">
        <f>+$D26</f>
        <v>174.2853277370483</v>
      </c>
      <c r="J49" s="87" t="s">
        <v>29</v>
      </c>
      <c r="K49" s="101">
        <f>+$D33</f>
        <v>0</v>
      </c>
      <c r="L49" s="101">
        <f>+$D32</f>
        <v>0</v>
      </c>
    </row>
    <row r="50" spans="1:12" ht="12.75">
      <c r="A50" s="87" t="s">
        <v>7</v>
      </c>
      <c r="B50" s="101">
        <f>+$L27</f>
        <v>43.56751669228885</v>
      </c>
      <c r="C50" s="101">
        <f>+$L26</f>
        <v>44.94561866363444</v>
      </c>
      <c r="J50" s="87" t="s">
        <v>7</v>
      </c>
      <c r="K50" s="101">
        <f>+$L33</f>
        <v>163.93095087813708</v>
      </c>
      <c r="L50" s="101">
        <f>+$L32</f>
        <v>169.39565228183275</v>
      </c>
    </row>
    <row r="51" spans="1:12" ht="12.75">
      <c r="A51" s="87" t="s">
        <v>49</v>
      </c>
      <c r="B51" s="101">
        <f>+$Q27</f>
        <v>176.1923038868541</v>
      </c>
      <c r="C51" s="101">
        <f>+$Q26</f>
        <v>185.5018372778166</v>
      </c>
      <c r="J51" s="87" t="s">
        <v>49</v>
      </c>
      <c r="K51" s="101">
        <f>+$Q33</f>
        <v>234.04120199379332</v>
      </c>
      <c r="L51" s="101">
        <f>+$Q32</f>
        <v>246.81431563661792</v>
      </c>
    </row>
    <row r="52" spans="1:12" ht="12.75">
      <c r="A52" s="87" t="s">
        <v>9</v>
      </c>
      <c r="B52" s="101">
        <f>+$N27</f>
        <v>252.20292232564216</v>
      </c>
      <c r="C52" s="101">
        <f>+$N26</f>
        <v>269.7801419832359</v>
      </c>
      <c r="J52" s="87" t="s">
        <v>9</v>
      </c>
      <c r="K52" s="101">
        <f>+$N33</f>
        <v>202.96329537785462</v>
      </c>
      <c r="L52" s="101">
        <f>+$N32</f>
        <v>217.46737639542283</v>
      </c>
    </row>
    <row r="53" spans="1:12" ht="12.75">
      <c r="A53" s="87" t="s">
        <v>53</v>
      </c>
      <c r="B53" s="101">
        <f>+$U27</f>
        <v>222.93079035027898</v>
      </c>
      <c r="C53" s="101">
        <f>+$U26</f>
        <v>259.9881005748565</v>
      </c>
      <c r="J53" s="87" t="s">
        <v>53</v>
      </c>
      <c r="K53" s="101">
        <f>+$U33</f>
        <v>180.87407933969382</v>
      </c>
      <c r="L53" s="101">
        <f>+$U32</f>
        <v>211.2888084800303</v>
      </c>
    </row>
    <row r="54" spans="1:12" ht="12.75">
      <c r="A54" s="87" t="s">
        <v>60</v>
      </c>
      <c r="B54" s="101">
        <f>+$AB27</f>
        <v>92.32255620782847</v>
      </c>
      <c r="C54" s="101">
        <f>+$AB26</f>
        <v>109.34690114817435</v>
      </c>
      <c r="J54" s="87" t="s">
        <v>60</v>
      </c>
      <c r="K54" s="101">
        <f>+$AB33</f>
        <v>93.91023885894886</v>
      </c>
      <c r="L54" s="101">
        <f>+$AB32</f>
        <v>111.41107105510257</v>
      </c>
    </row>
    <row r="55" spans="1:12" ht="12.75">
      <c r="A55" s="87" t="s">
        <v>3</v>
      </c>
      <c r="B55" s="101">
        <f>+$G27</f>
        <v>40.02040358260944</v>
      </c>
      <c r="C55" s="101">
        <f>+$G26</f>
        <v>47.54894350172206</v>
      </c>
      <c r="J55" s="87" t="s">
        <v>3</v>
      </c>
      <c r="K55" s="101">
        <f>+$G33</f>
        <v>253.17024130089467</v>
      </c>
      <c r="L55" s="101">
        <f>+$G32</f>
        <v>301.29283808355234</v>
      </c>
    </row>
    <row r="56" spans="1:12" ht="12.75">
      <c r="A56" s="87" t="s">
        <v>269</v>
      </c>
      <c r="B56" s="101">
        <f>+$M27</f>
        <v>43.966010208247084</v>
      </c>
      <c r="C56" s="101">
        <f>+$M26</f>
        <v>52.824859486999756</v>
      </c>
      <c r="J56" s="87" t="s">
        <v>269</v>
      </c>
      <c r="K56" s="101">
        <f>+$M33</f>
        <v>227.78530300856383</v>
      </c>
      <c r="L56" s="101">
        <f>+$M32</f>
        <v>274.1345273596631</v>
      </c>
    </row>
    <row r="57" spans="1:12" ht="12.75">
      <c r="A57" s="87" t="s">
        <v>51</v>
      </c>
      <c r="B57" s="101">
        <f>+$S27</f>
        <v>180.39519579478144</v>
      </c>
      <c r="C57" s="101">
        <f>+$S26</f>
        <v>242.53178498519063</v>
      </c>
      <c r="J57" s="87" t="s">
        <v>51</v>
      </c>
      <c r="K57" s="101">
        <f>+$S33</f>
        <v>143.0882494218746</v>
      </c>
      <c r="L57" s="101">
        <f>+$S32</f>
        <v>192.69232244477334</v>
      </c>
    </row>
    <row r="58" spans="1:12" ht="12.75">
      <c r="A58" s="87" t="s">
        <v>6</v>
      </c>
      <c r="B58" s="101">
        <f>+$K27</f>
        <v>131.88052596490235</v>
      </c>
      <c r="C58" s="101">
        <f>+$K26</f>
        <v>178.2299408245928</v>
      </c>
      <c r="J58" s="87" t="s">
        <v>6</v>
      </c>
      <c r="K58" s="101">
        <f>+$K33</f>
        <v>201.12041249015925</v>
      </c>
      <c r="L58" s="101">
        <f>+$K32</f>
        <v>272.25313443717334</v>
      </c>
    </row>
    <row r="59" spans="1:12" ht="12.75">
      <c r="A59" s="87" t="s">
        <v>10</v>
      </c>
      <c r="B59" s="101">
        <f>+$E27</f>
        <v>165.98890314272853</v>
      </c>
      <c r="C59" s="101">
        <f>+$E26</f>
        <v>236.80506149628525</v>
      </c>
      <c r="J59" s="87" t="s">
        <v>10</v>
      </c>
      <c r="K59" s="101">
        <f>+$E33</f>
        <v>306.90078801363285</v>
      </c>
      <c r="L59" s="101">
        <f>+$E32</f>
        <v>438.55763305160184</v>
      </c>
    </row>
    <row r="60" spans="1:12" ht="12.75">
      <c r="A60" s="87" t="s">
        <v>58</v>
      </c>
      <c r="B60" s="101">
        <f>+$Z27</f>
        <v>174.18248492074017</v>
      </c>
      <c r="C60" s="101">
        <f>+$Z26</f>
        <v>292.9056130557112</v>
      </c>
      <c r="J60" s="87" t="s">
        <v>58</v>
      </c>
      <c r="K60" s="101">
        <f>+$Z33</f>
        <v>230.72087011316006</v>
      </c>
      <c r="L60" s="101">
        <f>+$Z32</f>
        <v>388.6215129750722</v>
      </c>
    </row>
    <row r="61" spans="1:12" ht="12.75">
      <c r="A61" s="87" t="s">
        <v>57</v>
      </c>
      <c r="B61" s="101">
        <f>+$Y27</f>
        <v>194.0435165403786</v>
      </c>
      <c r="C61" s="101">
        <f>+$Y26</f>
        <v>405.17262454467664</v>
      </c>
      <c r="J61" s="87" t="s">
        <v>57</v>
      </c>
      <c r="K61" s="101">
        <f>+$Y33</f>
        <v>93.5853914133444</v>
      </c>
      <c r="L61" s="101">
        <f>+$Y32</f>
        <v>195.73377142480157</v>
      </c>
    </row>
    <row r="62" spans="1:12" ht="12.75">
      <c r="A62" s="87" t="s">
        <v>54</v>
      </c>
      <c r="B62" s="101">
        <f>+$V27</f>
        <v>105.89341486906511</v>
      </c>
      <c r="C62" s="101">
        <f>+$V26</f>
        <v>265.9003478607046</v>
      </c>
      <c r="J62" s="87" t="s">
        <v>54</v>
      </c>
      <c r="K62" s="101">
        <f>+$V33</f>
        <v>155.72716026574787</v>
      </c>
      <c r="L62" s="101">
        <f>+$V32</f>
        <v>391.6796977153317</v>
      </c>
    </row>
    <row r="63" spans="1:12" ht="12.75">
      <c r="A63" s="87" t="s">
        <v>63</v>
      </c>
      <c r="B63" s="101">
        <f>+$AE27</f>
        <v>89.64426746534794</v>
      </c>
      <c r="C63" s="101">
        <f>+$AE26</f>
        <v>238.48814678282318</v>
      </c>
      <c r="J63" s="87" t="s">
        <v>63</v>
      </c>
      <c r="K63" s="101">
        <f>+$AE33</f>
        <v>96.29680408280792</v>
      </c>
      <c r="L63" s="101">
        <f>+$AE32</f>
        <v>256.6095972632215</v>
      </c>
    </row>
    <row r="64" spans="1:12" ht="12.75">
      <c r="A64" s="87" t="s">
        <v>50</v>
      </c>
      <c r="B64" s="101">
        <f>+$R27</f>
        <v>191.29812635168676</v>
      </c>
      <c r="C64" s="101">
        <f>+$R26</f>
        <v>698.7444707179376</v>
      </c>
      <c r="J64" s="87" t="s">
        <v>50</v>
      </c>
      <c r="K64" s="101">
        <f>+$R33</f>
        <v>113.94925886252723</v>
      </c>
      <c r="L64" s="101">
        <f>+$R32</f>
        <v>416.90386149759036</v>
      </c>
    </row>
    <row r="65" spans="1:12" ht="12.75">
      <c r="A65" s="87" t="s">
        <v>59</v>
      </c>
      <c r="B65" s="101">
        <f>+$AA27</f>
        <v>98.90984509805911</v>
      </c>
      <c r="C65" s="101">
        <f>+$AA26</f>
        <v>408.88034868180495</v>
      </c>
      <c r="J65" s="87" t="s">
        <v>59</v>
      </c>
      <c r="K65" s="101">
        <f>+$AA33</f>
        <v>59.897450622185445</v>
      </c>
      <c r="L65" s="101">
        <f>+$AA32</f>
        <v>248.0171997607278</v>
      </c>
    </row>
    <row r="66" spans="1:12" ht="12.75">
      <c r="A66" s="87" t="s">
        <v>30</v>
      </c>
      <c r="B66" s="101">
        <f>+$J27</f>
        <v>68.68911328008147</v>
      </c>
      <c r="C66" s="101">
        <f>+$J26</f>
        <v>912.2415421447854</v>
      </c>
      <c r="J66" s="87" t="s">
        <v>30</v>
      </c>
      <c r="K66" s="101">
        <f>+$J33</f>
        <v>0</v>
      </c>
      <c r="L66" s="101">
        <f>+$J32</f>
        <v>0</v>
      </c>
    </row>
    <row r="69" ht="12.75">
      <c r="A69" s="98" t="s">
        <v>227</v>
      </c>
    </row>
    <row r="70" ht="12.75">
      <c r="A70" s="99" t="s">
        <v>224</v>
      </c>
    </row>
    <row r="72" spans="1:31" ht="12.75">
      <c r="A72" s="39"/>
      <c r="B72" s="95" t="s">
        <v>28</v>
      </c>
      <c r="C72" s="95" t="s">
        <v>0</v>
      </c>
      <c r="D72" s="20" t="s">
        <v>29</v>
      </c>
      <c r="E72" s="95" t="s">
        <v>10</v>
      </c>
      <c r="F72" s="95" t="s">
        <v>2</v>
      </c>
      <c r="G72" s="95" t="s">
        <v>3</v>
      </c>
      <c r="H72" s="95" t="s">
        <v>4</v>
      </c>
      <c r="I72" s="95" t="s">
        <v>5</v>
      </c>
      <c r="J72" s="20" t="s">
        <v>30</v>
      </c>
      <c r="K72" s="95" t="s">
        <v>6</v>
      </c>
      <c r="L72" s="95" t="s">
        <v>7</v>
      </c>
      <c r="M72" s="95" t="s">
        <v>11</v>
      </c>
      <c r="N72" s="95" t="s">
        <v>9</v>
      </c>
      <c r="O72" s="21" t="s">
        <v>31</v>
      </c>
      <c r="P72" s="96" t="s">
        <v>68</v>
      </c>
      <c r="Q72" s="96" t="s">
        <v>49</v>
      </c>
      <c r="R72" s="96" t="s">
        <v>50</v>
      </c>
      <c r="S72" s="96" t="s">
        <v>51</v>
      </c>
      <c r="T72" s="96" t="s">
        <v>52</v>
      </c>
      <c r="U72" s="96" t="s">
        <v>53</v>
      </c>
      <c r="V72" s="96" t="s">
        <v>54</v>
      </c>
      <c r="W72" s="96" t="s">
        <v>55</v>
      </c>
      <c r="X72" s="96" t="s">
        <v>56</v>
      </c>
      <c r="Y72" s="96" t="s">
        <v>57</v>
      </c>
      <c r="Z72" s="96" t="s">
        <v>58</v>
      </c>
      <c r="AA72" s="96" t="s">
        <v>59</v>
      </c>
      <c r="AB72" s="96" t="s">
        <v>60</v>
      </c>
      <c r="AC72" s="96" t="s">
        <v>61</v>
      </c>
      <c r="AD72" s="96" t="s">
        <v>62</v>
      </c>
      <c r="AE72" s="96" t="s">
        <v>63</v>
      </c>
    </row>
    <row r="73" spans="1:31" ht="12.75">
      <c r="A73" s="87" t="s">
        <v>225</v>
      </c>
      <c r="B73" s="89">
        <f>'[2]manip_POP'!B$14/surface_area!B5*1000</f>
        <v>91.5002343302075</v>
      </c>
      <c r="C73" s="89">
        <f>'[2]manip_POP'!C$14/surface_area!C5*1000</f>
        <v>74.38948051246014</v>
      </c>
      <c r="D73" s="89">
        <f>'[2]manip_POP'!D$14/surface_area!D5*1000</f>
        <v>83.3423413685007</v>
      </c>
      <c r="E73" s="89">
        <f>'[2]manip_POP'!E$14/surface_area!E5*1000</f>
        <v>130.53715162427406</v>
      </c>
      <c r="F73" s="89">
        <f>'[2]manip_POP'!F$14/surface_area!F5*1000</f>
        <v>32.054126959559554</v>
      </c>
      <c r="G73" s="89">
        <f>'[2]manip_POP'!G$14/surface_area!G5*1000</f>
        <v>108.71303343007632</v>
      </c>
      <c r="H73" s="89">
        <f>'[2]manip_POP'!H$14/surface_area!H5*1000</f>
        <v>37.915496446763385</v>
      </c>
      <c r="I73" s="89">
        <f>'[2]manip_POP'!I$14/surface_area!I5*1000</f>
        <v>56.69831546707504</v>
      </c>
      <c r="J73" s="89">
        <f>'[2]manip_POP'!J$14/surface_area!J5*1000</f>
        <v>1215.1898734177216</v>
      </c>
      <c r="K73" s="89">
        <f>'[2]manip_POP'!K$14/surface_area!K5*1000</f>
        <v>123.65799446727537</v>
      </c>
      <c r="L73" s="89">
        <f>'[2]manip_POP'!L$14/surface_area!L5*1000</f>
        <v>94.39451573255701</v>
      </c>
      <c r="M73" s="89">
        <f>'[2]manip_POP'!M$14/surface_area!M5*1000</f>
        <v>109.93690349946978</v>
      </c>
      <c r="N73" s="89">
        <f>'[2]manip_POP'!N$14/surface_area!N5*1000</f>
        <v>97.87732030015799</v>
      </c>
      <c r="O73" s="89">
        <f>'[2]manip_POP'!O$14/surface_area!O5*1000</f>
        <v>83.2185747565548</v>
      </c>
      <c r="P73" s="100">
        <f>+'[2]manip_POP'!Q$14/surface_area!Q5*1000</f>
        <v>115.59382047680211</v>
      </c>
      <c r="Q73" s="100">
        <f>+'[2]manip_POP'!R$14/surface_area!R5*1000</f>
        <v>96.33486369815641</v>
      </c>
      <c r="R73" s="100">
        <f>+'[2]manip_POP'!S$14/surface_area!S5*1000</f>
        <v>334.2180293501048</v>
      </c>
      <c r="S73" s="100">
        <f>+'[2]manip_POP'!T$14/surface_area!T5*1000</f>
        <v>123.01721817422379</v>
      </c>
      <c r="T73" s="100">
        <f>+'[2]manip_POP'!U$14/surface_area!U5*1000</f>
        <v>15.240497419745966</v>
      </c>
      <c r="U73" s="100">
        <f>+'[2]manip_POP'!V$14/surface_area!V5*1000</f>
        <v>106.71012330009066</v>
      </c>
      <c r="V73" s="100">
        <f>+'[2]manip_POP'!W$14/surface_area!W5*1000</f>
        <v>229.75880197858956</v>
      </c>
      <c r="W73" s="100">
        <f>+'[2]manip_POP'!X$14/surface_area!X5*1000</f>
        <v>79.69540077449471</v>
      </c>
      <c r="X73" s="100">
        <f>+'[2]manip_POP'!Y$14/surface_area!Y5*1000</f>
        <v>52.72121582969277</v>
      </c>
      <c r="Y73" s="100">
        <f>+'[2]manip_POP'!Z$14/surface_area!Z5*1000</f>
        <v>191.0570925069196</v>
      </c>
      <c r="Z73" s="100">
        <f>+'[2]manip_POP'!AA$14/surface_area!AA5*1000</f>
        <v>153.86697602474862</v>
      </c>
      <c r="AA73" s="100">
        <f>+'[2]manip_POP'!AB$14/surface_area!AB5*1000</f>
        <v>378.2499879593508</v>
      </c>
      <c r="AB73" s="100">
        <f>+'[2]manip_POP'!AC$14/surface_area!AC5*1000</f>
        <v>108.37294253223457</v>
      </c>
      <c r="AC73" s="100">
        <f>+'[2]manip_POP'!AD$14/surface_area!AD5*1000</f>
        <v>77.80982110389097</v>
      </c>
      <c r="AD73" s="100">
        <f>+'[2]manip_POP'!AE$14/surface_area!AE5*1000</f>
        <v>19.67040474349059</v>
      </c>
      <c r="AE73" s="100">
        <f>+'[2]manip_POP'!AF$14/surface_area!AF5*1000</f>
        <v>243.42573075339646</v>
      </c>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AJ114"/>
  <sheetViews>
    <sheetView workbookViewId="0" topLeftCell="A26">
      <selection activeCell="B36" sqref="B36:O36"/>
    </sheetView>
  </sheetViews>
  <sheetFormatPr defaultColWidth="9.00390625" defaultRowHeight="12.75"/>
  <cols>
    <col min="1" max="15" width="9.125" style="1" customWidth="1"/>
    <col min="16" max="16384" width="9.25390625" style="1" customWidth="1"/>
  </cols>
  <sheetData>
    <row r="1" spans="1:15" ht="11.25">
      <c r="A1" s="4" t="s">
        <v>212</v>
      </c>
      <c r="B1" s="5"/>
      <c r="C1" s="5"/>
      <c r="D1" s="5"/>
      <c r="E1" s="5"/>
      <c r="F1" s="5"/>
      <c r="G1" s="5"/>
      <c r="H1" s="5"/>
      <c r="I1" s="5"/>
      <c r="J1" s="5"/>
      <c r="K1" s="5"/>
      <c r="L1" s="5"/>
      <c r="M1" s="5"/>
      <c r="N1" s="5"/>
      <c r="O1" s="6"/>
    </row>
    <row r="2" spans="1:15" ht="11.25">
      <c r="A2" s="18" t="s">
        <v>27</v>
      </c>
      <c r="B2" s="5"/>
      <c r="C2" s="5"/>
      <c r="D2" s="5"/>
      <c r="E2" s="5"/>
      <c r="F2" s="5"/>
      <c r="G2" s="5"/>
      <c r="H2" s="5"/>
      <c r="I2" s="5"/>
      <c r="J2" s="5"/>
      <c r="K2" s="5"/>
      <c r="L2" s="5"/>
      <c r="M2" s="5"/>
      <c r="N2" s="5"/>
      <c r="O2" s="6"/>
    </row>
    <row r="3" spans="1:15" ht="11.25">
      <c r="A3" s="5"/>
      <c r="B3" s="5"/>
      <c r="D3" s="5"/>
      <c r="E3" s="5"/>
      <c r="F3" s="5"/>
      <c r="G3" s="5"/>
      <c r="H3" s="5"/>
      <c r="I3" s="5"/>
      <c r="J3" s="5"/>
      <c r="K3" s="5"/>
      <c r="L3" s="5"/>
      <c r="M3" s="5"/>
      <c r="N3" s="5"/>
      <c r="O3" s="6"/>
    </row>
    <row r="4" spans="1:35" ht="11.25">
      <c r="A4" s="5"/>
      <c r="B4" s="19" t="s">
        <v>28</v>
      </c>
      <c r="C4" s="20" t="s">
        <v>0</v>
      </c>
      <c r="D4" s="20" t="s">
        <v>29</v>
      </c>
      <c r="E4" s="20" t="s">
        <v>1</v>
      </c>
      <c r="F4" s="20" t="s">
        <v>2</v>
      </c>
      <c r="G4" s="20" t="s">
        <v>3</v>
      </c>
      <c r="H4" s="20" t="s">
        <v>4</v>
      </c>
      <c r="I4" s="20" t="s">
        <v>5</v>
      </c>
      <c r="J4" s="20" t="s">
        <v>30</v>
      </c>
      <c r="K4" s="20" t="s">
        <v>6</v>
      </c>
      <c r="L4" s="20" t="s">
        <v>7</v>
      </c>
      <c r="M4" s="20" t="s">
        <v>8</v>
      </c>
      <c r="N4" s="20" t="s">
        <v>9</v>
      </c>
      <c r="O4" s="21" t="s">
        <v>31</v>
      </c>
      <c r="P4" s="29" t="s">
        <v>175</v>
      </c>
      <c r="AI4" s="1" t="s">
        <v>64</v>
      </c>
    </row>
    <row r="5" spans="1:36" ht="11.25">
      <c r="A5" s="5">
        <v>1990</v>
      </c>
      <c r="B5" s="90" t="e">
        <f>SUM(C5:O5)</f>
        <v>#N/A</v>
      </c>
      <c r="C5" s="90">
        <f>+basedata_road!C5</f>
        <v>36922</v>
      </c>
      <c r="D5" s="90">
        <f>+basedata_road!D5</f>
        <v>9043</v>
      </c>
      <c r="E5" s="90" t="e">
        <f>+basedata_road!E5</f>
        <v>#N/A</v>
      </c>
      <c r="F5" s="90" t="e">
        <f>+basedata_road!F5</f>
        <v>#N/A</v>
      </c>
      <c r="G5" s="90">
        <f>+basedata_road!G5</f>
        <v>29741</v>
      </c>
      <c r="H5" s="90">
        <f>+basedata_road!H5</f>
        <v>59541</v>
      </c>
      <c r="I5" s="90">
        <f>+basedata_road!I5</f>
        <v>48734</v>
      </c>
      <c r="J5" s="90">
        <f>+basedata_road!J5</f>
        <v>1593</v>
      </c>
      <c r="K5" s="24">
        <f>+basedata_road!K5</f>
        <v>363116</v>
      </c>
      <c r="L5" s="24">
        <f>+basedata_road!L5</f>
        <v>72816</v>
      </c>
      <c r="M5" s="24">
        <f>+basedata_road!M5</f>
        <v>17937</v>
      </c>
      <c r="N5" s="24">
        <f>+basedata_road!N5</f>
        <v>39552</v>
      </c>
      <c r="O5" s="24" t="e">
        <f>+basedata_road!O5</f>
        <v>#N/A</v>
      </c>
      <c r="P5" s="132" t="e">
        <f>+C5+SUM(E5:I5)+SUM(K5:N5)</f>
        <v>#N/A</v>
      </c>
      <c r="AI5" s="1" t="s">
        <v>65</v>
      </c>
      <c r="AJ5" s="1" t="s">
        <v>66</v>
      </c>
    </row>
    <row r="6" spans="1:16" ht="11.25">
      <c r="A6" s="5">
        <v>1991</v>
      </c>
      <c r="B6" s="90" t="e">
        <f aca="true" t="shared" si="0" ref="B6:B14">SUM(C6:O6)</f>
        <v>#N/A</v>
      </c>
      <c r="C6" s="90">
        <f>+basedata_road!C6</f>
        <v>36930</v>
      </c>
      <c r="D6" s="90">
        <f>+basedata_road!D6</f>
        <v>9226</v>
      </c>
      <c r="E6" s="90" t="e">
        <f>+basedata_road!E6</f>
        <v>#N/A</v>
      </c>
      <c r="F6" s="90" t="e">
        <f>+basedata_road!F6</f>
        <v>#N/A</v>
      </c>
      <c r="G6" s="90">
        <f>+basedata_road!G6</f>
        <v>29894</v>
      </c>
      <c r="H6" s="90">
        <f>+basedata_road!H6</f>
        <v>59525</v>
      </c>
      <c r="I6" s="90">
        <f>+basedata_road!I6</f>
        <v>49133</v>
      </c>
      <c r="J6" s="90" t="e">
        <f>+basedata_road!J6</f>
        <v>#N/A</v>
      </c>
      <c r="K6" s="90">
        <f>+basedata_road!K6</f>
        <v>365347</v>
      </c>
      <c r="L6" s="90">
        <f>+basedata_road!L6</f>
        <v>72816</v>
      </c>
      <c r="M6" s="90">
        <f>+basedata_road!M6</f>
        <v>17920</v>
      </c>
      <c r="N6" s="90">
        <f>+basedata_road!N6</f>
        <v>39744</v>
      </c>
      <c r="O6" s="90" t="e">
        <f>+basedata_road!O6</f>
        <v>#N/A</v>
      </c>
      <c r="P6" s="132" t="e">
        <f aca="true" t="shared" si="1" ref="P6:P14">+C6+SUM(E6:I6)+SUM(K6:N6)</f>
        <v>#N/A</v>
      </c>
    </row>
    <row r="7" spans="1:16" ht="11.25">
      <c r="A7" s="5">
        <v>1992</v>
      </c>
      <c r="B7" s="90" t="e">
        <f t="shared" si="0"/>
        <v>#N/A</v>
      </c>
      <c r="C7" s="90">
        <f>+basedata_road!C7</f>
        <v>36932</v>
      </c>
      <c r="D7" s="90">
        <f>+basedata_road!D7</f>
        <v>9362</v>
      </c>
      <c r="E7" s="90" t="e">
        <f>+basedata_road!E7</f>
        <v>#N/A</v>
      </c>
      <c r="F7" s="90" t="e">
        <f>+basedata_road!F7</f>
        <v>#N/A</v>
      </c>
      <c r="G7" s="90">
        <f>+basedata_road!G7</f>
        <v>29950</v>
      </c>
      <c r="H7" s="90">
        <f>+basedata_road!H7</f>
        <v>60192</v>
      </c>
      <c r="I7" s="90" t="e">
        <f>+basedata_road!I7</f>
        <v>#N/A</v>
      </c>
      <c r="J7" s="90">
        <f>+basedata_road!J7</f>
        <v>1558</v>
      </c>
      <c r="K7" s="90">
        <f>+basedata_road!K7</f>
        <v>367000</v>
      </c>
      <c r="L7" s="90">
        <f>+basedata_road!L7</f>
        <v>72816</v>
      </c>
      <c r="M7" s="90">
        <f>+basedata_road!M7</f>
        <v>17880</v>
      </c>
      <c r="N7" s="90">
        <f>+basedata_road!N7</f>
        <v>39794</v>
      </c>
      <c r="O7" s="90" t="e">
        <f>+basedata_road!O7</f>
        <v>#N/A</v>
      </c>
      <c r="P7" s="132" t="e">
        <f t="shared" si="1"/>
        <v>#N/A</v>
      </c>
    </row>
    <row r="8" spans="1:16" ht="11.25">
      <c r="A8" s="5">
        <v>1993</v>
      </c>
      <c r="B8" s="90" t="e">
        <f t="shared" si="0"/>
        <v>#N/A</v>
      </c>
      <c r="C8" s="90">
        <f>+basedata_road!C8</f>
        <v>36935</v>
      </c>
      <c r="D8" s="90">
        <f>+basedata_road!D8</f>
        <v>9539</v>
      </c>
      <c r="E8" s="90">
        <f>+basedata_road!E8</f>
        <v>124695</v>
      </c>
      <c r="F8" s="90">
        <f>+basedata_road!F8</f>
        <v>43842</v>
      </c>
      <c r="G8" s="90">
        <f>+basedata_road!G8</f>
        <v>29963</v>
      </c>
      <c r="H8" s="91">
        <f>(H$10-H$7)/(A$10-A$7)*(A8-A$7)+H$7</f>
        <v>58860</v>
      </c>
      <c r="I8" s="90">
        <f>+basedata_road!I8</f>
        <v>56693</v>
      </c>
      <c r="J8" s="91">
        <f>(J$12-J$7)/($A$12-$A$7)*($A8-$A$7)+J$7</f>
        <v>1640.6</v>
      </c>
      <c r="K8" s="90">
        <f>+basedata_road!K8</f>
        <v>350127</v>
      </c>
      <c r="L8" s="90">
        <f>+basedata_road!L8</f>
        <v>72816</v>
      </c>
      <c r="M8" s="90">
        <f>+basedata_road!M8</f>
        <v>17865</v>
      </c>
      <c r="N8" s="90">
        <f>+basedata_road!N8</f>
        <v>39803</v>
      </c>
      <c r="O8" s="90" t="e">
        <f>+basedata_road!O8</f>
        <v>#N/A</v>
      </c>
      <c r="P8" s="132">
        <f t="shared" si="1"/>
        <v>831599</v>
      </c>
    </row>
    <row r="9" spans="1:16" ht="11.25">
      <c r="A9" s="5">
        <v>1994</v>
      </c>
      <c r="B9" s="90">
        <f t="shared" si="0"/>
        <v>1229696.2</v>
      </c>
      <c r="C9" s="90">
        <f>+basedata_road!C9</f>
        <v>36911</v>
      </c>
      <c r="D9" s="90">
        <f>+basedata_road!D9</f>
        <v>9801</v>
      </c>
      <c r="E9" s="90">
        <f>+basedata_road!E9</f>
        <v>125192</v>
      </c>
      <c r="F9" s="90">
        <f>+basedata_road!F9</f>
        <v>43826</v>
      </c>
      <c r="G9" s="90">
        <f>+basedata_road!G9</f>
        <v>30031</v>
      </c>
      <c r="H9" s="91">
        <f>(H$10-H$7)/(A$10-A$7)*(A9-A$7)+H$7</f>
        <v>57528</v>
      </c>
      <c r="I9" s="90">
        <f>+basedata_road!I9</f>
        <v>60574</v>
      </c>
      <c r="J9" s="91">
        <f>(J$12-J$7)/($A$12-$A$7)*($A9-$A$7)+J$7</f>
        <v>1723.2</v>
      </c>
      <c r="K9" s="90">
        <f>+basedata_road!K9</f>
        <v>352555</v>
      </c>
      <c r="L9" s="90">
        <f>+basedata_road!L9</f>
        <v>72828</v>
      </c>
      <c r="M9" s="90">
        <f>+basedata_road!M9</f>
        <v>17889</v>
      </c>
      <c r="N9" s="90">
        <f>+basedata_road!N9</f>
        <v>39810</v>
      </c>
      <c r="O9" s="90">
        <f>+basedata_road!O9</f>
        <v>381028</v>
      </c>
      <c r="P9" s="132">
        <f t="shared" si="1"/>
        <v>837144</v>
      </c>
    </row>
    <row r="10" spans="1:16" ht="11.25">
      <c r="A10" s="5">
        <v>1995</v>
      </c>
      <c r="B10" s="90">
        <f t="shared" si="0"/>
        <v>1251435.8</v>
      </c>
      <c r="C10" s="90">
        <f>+basedata_road!C10</f>
        <v>36757</v>
      </c>
      <c r="D10" s="90">
        <f>+basedata_road!D10</f>
        <v>10317.5</v>
      </c>
      <c r="E10" s="91">
        <f>(E11-E9)/2+E9</f>
        <v>125611.5</v>
      </c>
      <c r="F10" s="90">
        <f>+basedata_road!F10</f>
        <v>43820</v>
      </c>
      <c r="G10" s="90">
        <f>+basedata_road!G10</f>
        <v>30073</v>
      </c>
      <c r="H10" s="90">
        <f>+basedata_road!H10</f>
        <v>56196</v>
      </c>
      <c r="I10" s="90">
        <f>+basedata_road!I10</f>
        <v>62513</v>
      </c>
      <c r="J10" s="91">
        <f>(J$12-J$7)/($A$12-$A$7)*($A10-$A$7)+J$7</f>
        <v>1805.8</v>
      </c>
      <c r="K10" s="90">
        <f>+basedata_road!K10</f>
        <v>372479</v>
      </c>
      <c r="L10" s="90">
        <f>+basedata_road!L10</f>
        <v>72859</v>
      </c>
      <c r="M10" s="90">
        <f>+basedata_road!M10</f>
        <v>17868</v>
      </c>
      <c r="N10" s="90">
        <f>+basedata_road!N10</f>
        <v>39836</v>
      </c>
      <c r="O10" s="90">
        <f>+basedata_road!O10</f>
        <v>381300</v>
      </c>
      <c r="P10" s="132">
        <f t="shared" si="1"/>
        <v>858012.5</v>
      </c>
    </row>
    <row r="11" spans="1:16" ht="11.25">
      <c r="A11" s="5">
        <v>1996</v>
      </c>
      <c r="B11" s="90">
        <f t="shared" si="0"/>
        <v>1259883.9</v>
      </c>
      <c r="C11" s="90">
        <f>+basedata_road!C11</f>
        <v>36720</v>
      </c>
      <c r="D11" s="90">
        <f>+basedata_road!D11</f>
        <v>10582.5</v>
      </c>
      <c r="E11" s="90">
        <f>+basedata_road!E11</f>
        <v>126031</v>
      </c>
      <c r="F11" s="90">
        <f>+basedata_road!F11</f>
        <v>44168</v>
      </c>
      <c r="G11" s="90">
        <f>+basedata_road!G11</f>
        <v>30049</v>
      </c>
      <c r="H11" s="90">
        <f>+basedata_road!H11</f>
        <v>56729</v>
      </c>
      <c r="I11" s="90">
        <f>+basedata_road!I11</f>
        <v>66212</v>
      </c>
      <c r="J11" s="91">
        <f>(J$12-J$7)/($A$12-$A$7)*($A11-$A$7)+J$7</f>
        <v>1888.4</v>
      </c>
      <c r="K11" s="90">
        <f>+basedata_road!K11</f>
        <v>374990</v>
      </c>
      <c r="L11" s="90">
        <f>+basedata_road!L11</f>
        <v>73160</v>
      </c>
      <c r="M11" s="90">
        <f>+basedata_road!M11</f>
        <v>17867</v>
      </c>
      <c r="N11" s="90">
        <f>+basedata_road!N11</f>
        <v>39856</v>
      </c>
      <c r="O11" s="90">
        <f>+basedata_road!O11</f>
        <v>381631</v>
      </c>
      <c r="P11" s="132">
        <f t="shared" si="1"/>
        <v>865782</v>
      </c>
    </row>
    <row r="12" spans="1:16" ht="11.25">
      <c r="A12" s="5">
        <v>1997</v>
      </c>
      <c r="B12" s="90">
        <f t="shared" si="0"/>
        <v>1267271.4</v>
      </c>
      <c r="C12" s="90">
        <f>+basedata_road!C12</f>
        <v>36724</v>
      </c>
      <c r="D12" s="90">
        <f>+basedata_road!D12</f>
        <v>10847.5</v>
      </c>
      <c r="E12" s="90">
        <f>+basedata_road!E12</f>
        <v>127694</v>
      </c>
      <c r="F12" s="90">
        <f>+basedata_road!F12</f>
        <v>43889</v>
      </c>
      <c r="G12" s="90">
        <f>+basedata_road!G12</f>
        <v>29750</v>
      </c>
      <c r="H12" s="90">
        <f>+basedata_road!H12</f>
        <v>56990</v>
      </c>
      <c r="I12" s="90">
        <f>+basedata_road!I12</f>
        <v>69243</v>
      </c>
      <c r="J12" s="90">
        <f>+basedata_road!J12</f>
        <v>1971</v>
      </c>
      <c r="K12" s="90">
        <f>+basedata_road!K12</f>
        <v>377048</v>
      </c>
      <c r="L12" s="90">
        <f>+basedata_road!L12</f>
        <v>73161</v>
      </c>
      <c r="M12" s="90">
        <f>+basedata_road!M12</f>
        <v>17626.9</v>
      </c>
      <c r="N12" s="90">
        <f>+basedata_road!N12</f>
        <v>39930</v>
      </c>
      <c r="O12" s="90">
        <f>+basedata_road!O12</f>
        <v>382397</v>
      </c>
      <c r="P12" s="132">
        <f t="shared" si="1"/>
        <v>872055.9</v>
      </c>
    </row>
    <row r="13" spans="1:16" ht="11.25">
      <c r="A13" s="5">
        <v>1998</v>
      </c>
      <c r="B13" s="90">
        <f t="shared" si="0"/>
        <v>1273637</v>
      </c>
      <c r="C13" s="90">
        <f>+basedata_road!C13</f>
        <v>36759</v>
      </c>
      <c r="D13" s="90">
        <f>+basedata_road!D13</f>
        <v>11024</v>
      </c>
      <c r="E13" s="90">
        <f>+basedata_road!E13</f>
        <v>127694</v>
      </c>
      <c r="F13" s="97">
        <f>+F12</f>
        <v>43889</v>
      </c>
      <c r="G13" s="90">
        <f>+basedata_road!G13</f>
        <v>30245</v>
      </c>
      <c r="H13" s="90">
        <f>+basedata_road!H13</f>
        <v>57818</v>
      </c>
      <c r="I13" s="90">
        <f>+basedata_road!I13</f>
        <v>72459</v>
      </c>
      <c r="J13" s="90">
        <f>+basedata_road!J13</f>
        <v>1971</v>
      </c>
      <c r="K13" s="90">
        <f>+basedata_road!K13</f>
        <v>381046</v>
      </c>
      <c r="L13" s="90">
        <f>+basedata_road!L13</f>
        <v>73260</v>
      </c>
      <c r="M13" s="90">
        <f>+basedata_road!M13</f>
        <v>17711</v>
      </c>
      <c r="N13" s="90">
        <f>+basedata_road!N13</f>
        <v>37364</v>
      </c>
      <c r="O13" s="97">
        <f>+O12</f>
        <v>382397</v>
      </c>
      <c r="P13" s="132">
        <f t="shared" si="1"/>
        <v>878245</v>
      </c>
    </row>
    <row r="14" spans="1:16" ht="11.25">
      <c r="A14" s="5">
        <v>1999</v>
      </c>
      <c r="B14" s="90" t="e">
        <f t="shared" si="0"/>
        <v>#N/A</v>
      </c>
      <c r="C14" s="90" t="e">
        <f>+basedata_road!C14</f>
        <v>#N/A</v>
      </c>
      <c r="D14" s="90">
        <f>+basedata_road!D14</f>
        <v>11585</v>
      </c>
      <c r="E14" s="90">
        <f>+basedata_road!E14</f>
        <v>127732</v>
      </c>
      <c r="F14" s="90" t="e">
        <f>NA()</f>
        <v>#N/A</v>
      </c>
      <c r="G14" s="90" t="e">
        <f>+basedata_road!G14</f>
        <v>#N/A</v>
      </c>
      <c r="H14" s="90">
        <f>+basedata_road!H14</f>
        <v>57961</v>
      </c>
      <c r="I14" s="90">
        <f>+basedata_road!I14</f>
        <v>73650</v>
      </c>
      <c r="J14" s="90">
        <f>+basedata_road!J14</f>
        <v>2154</v>
      </c>
      <c r="K14" s="90">
        <f>+basedata_road!K14</f>
        <v>371729</v>
      </c>
      <c r="L14" s="90">
        <f>+basedata_road!L14</f>
        <v>73435</v>
      </c>
      <c r="M14" s="90">
        <f>+basedata_road!M14</f>
        <v>17734</v>
      </c>
      <c r="N14" s="90">
        <f>+basedata_road!N14</f>
        <v>38260</v>
      </c>
      <c r="O14" s="90" t="e">
        <f>+basedata_road!O14</f>
        <v>#N/A</v>
      </c>
      <c r="P14" s="132" t="e">
        <f t="shared" si="1"/>
        <v>#N/A</v>
      </c>
    </row>
    <row r="15" spans="1:15" ht="11.25">
      <c r="A15" s="5"/>
      <c r="B15" s="5"/>
      <c r="C15" s="5"/>
      <c r="D15" s="5"/>
      <c r="E15" s="90"/>
      <c r="F15" s="90"/>
      <c r="G15" s="90"/>
      <c r="H15" s="5"/>
      <c r="I15" s="5"/>
      <c r="J15" s="5"/>
      <c r="K15" s="5"/>
      <c r="L15" s="5"/>
      <c r="M15" s="5"/>
      <c r="N15" s="5"/>
      <c r="O15" s="6"/>
    </row>
    <row r="16" spans="1:15" ht="11.25">
      <c r="A16" s="5" t="s">
        <v>76</v>
      </c>
      <c r="B16" s="25"/>
      <c r="C16" s="25"/>
      <c r="D16" s="25"/>
      <c r="E16" s="90"/>
      <c r="F16" s="90"/>
      <c r="G16" s="90"/>
      <c r="H16" s="25"/>
      <c r="I16" s="25"/>
      <c r="J16" s="25"/>
      <c r="K16" s="25"/>
      <c r="L16" s="25"/>
      <c r="M16" s="25"/>
      <c r="N16" s="25"/>
      <c r="O16" s="25"/>
    </row>
    <row r="17" spans="1:16" ht="11.25">
      <c r="A17" s="5"/>
      <c r="B17" s="90">
        <f>B12-B9</f>
        <v>37575.19999999995</v>
      </c>
      <c r="C17" s="90">
        <f aca="true" t="shared" si="2" ref="C17:O17">C12-C9</f>
        <v>-187</v>
      </c>
      <c r="D17" s="90">
        <f t="shared" si="2"/>
        <v>1046.5</v>
      </c>
      <c r="E17" s="90">
        <f t="shared" si="2"/>
        <v>2502</v>
      </c>
      <c r="F17" s="90">
        <f t="shared" si="2"/>
        <v>63</v>
      </c>
      <c r="G17" s="90">
        <f t="shared" si="2"/>
        <v>-281</v>
      </c>
      <c r="H17" s="90">
        <f t="shared" si="2"/>
        <v>-538</v>
      </c>
      <c r="I17" s="90">
        <f t="shared" si="2"/>
        <v>8669</v>
      </c>
      <c r="J17" s="90">
        <f t="shared" si="2"/>
        <v>247.79999999999995</v>
      </c>
      <c r="K17" s="90">
        <f t="shared" si="2"/>
        <v>24493</v>
      </c>
      <c r="L17" s="90">
        <f t="shared" si="2"/>
        <v>333</v>
      </c>
      <c r="M17" s="90">
        <f t="shared" si="2"/>
        <v>-262.09999999999854</v>
      </c>
      <c r="N17" s="90">
        <f t="shared" si="2"/>
        <v>120</v>
      </c>
      <c r="O17" s="90">
        <f t="shared" si="2"/>
        <v>1369</v>
      </c>
      <c r="P17" s="90">
        <f>P12-P9</f>
        <v>34911.90000000002</v>
      </c>
    </row>
    <row r="18" spans="1:19" ht="11.25">
      <c r="A18" s="5" t="s">
        <v>73</v>
      </c>
      <c r="B18" s="5"/>
      <c r="C18" s="5"/>
      <c r="D18" s="5"/>
      <c r="E18" s="90"/>
      <c r="F18" s="90"/>
      <c r="G18" s="90"/>
      <c r="H18" s="8"/>
      <c r="I18" s="8"/>
      <c r="J18" s="8"/>
      <c r="K18" s="8"/>
      <c r="L18" s="8"/>
      <c r="M18" s="8"/>
      <c r="N18" s="8"/>
      <c r="O18" s="8"/>
      <c r="P18" s="8"/>
      <c r="R18" s="139">
        <f>+SUM(C13:D13)+SUM(G13:N13)</f>
        <v>719657</v>
      </c>
      <c r="S18" s="6" t="s">
        <v>266</v>
      </c>
    </row>
    <row r="19" spans="1:19" ht="11.25">
      <c r="A19" s="7"/>
      <c r="B19" s="9">
        <f>POWER((B12/B9),(1/($A12-$A9)))-1</f>
        <v>0.010083478475475527</v>
      </c>
      <c r="C19" s="9">
        <f aca="true" t="shared" si="3" ref="C19:O19">POWER((C12/C9),(1/($A12-$A9)))-1</f>
        <v>-0.001691606725161665</v>
      </c>
      <c r="D19" s="9">
        <f t="shared" si="3"/>
        <v>0.03439502522956128</v>
      </c>
      <c r="E19" s="90">
        <f t="shared" si="3"/>
        <v>0.006617874647501187</v>
      </c>
      <c r="F19" s="90">
        <f t="shared" si="3"/>
        <v>0.00047893819897781853</v>
      </c>
      <c r="G19" s="90">
        <f t="shared" si="3"/>
        <v>-0.003128778300509616</v>
      </c>
      <c r="H19" s="9">
        <f t="shared" si="3"/>
        <v>-0.003127091084842326</v>
      </c>
      <c r="I19" s="9">
        <f t="shared" si="3"/>
        <v>0.04559430108996332</v>
      </c>
      <c r="J19" s="9">
        <f t="shared" si="3"/>
        <v>0.0458040341585928</v>
      </c>
      <c r="K19" s="9">
        <f t="shared" si="3"/>
        <v>0.02264112668246243</v>
      </c>
      <c r="L19" s="9">
        <f t="shared" si="3"/>
        <v>0.001521821950525526</v>
      </c>
      <c r="M19" s="9">
        <f t="shared" si="3"/>
        <v>-0.004907868363706713</v>
      </c>
      <c r="N19" s="9">
        <f t="shared" si="3"/>
        <v>0.0010037647893188506</v>
      </c>
      <c r="O19" s="9">
        <f t="shared" si="3"/>
        <v>0.001196205790156224</v>
      </c>
      <c r="P19" s="9">
        <f>POWER((P12/P9),(1/($A12-$A9)))-1</f>
        <v>0.013712305864798768</v>
      </c>
      <c r="R19" s="139">
        <f>+SUM(C45:D45)+SUM(G45:N45)</f>
        <v>2430</v>
      </c>
      <c r="S19" s="6" t="s">
        <v>267</v>
      </c>
    </row>
    <row r="20" spans="1:19" ht="11.25">
      <c r="A20" s="26" t="s">
        <v>74</v>
      </c>
      <c r="B20" s="9"/>
      <c r="C20" s="9"/>
      <c r="D20" s="9"/>
      <c r="E20" s="9"/>
      <c r="F20" s="9"/>
      <c r="G20" s="9"/>
      <c r="H20" s="9"/>
      <c r="I20" s="9"/>
      <c r="J20" s="9"/>
      <c r="K20" s="9"/>
      <c r="L20" s="9"/>
      <c r="M20" s="9"/>
      <c r="N20" s="9"/>
      <c r="O20" s="9"/>
      <c r="P20" s="9"/>
      <c r="R20" s="139">
        <f>+R18-R19</f>
        <v>717227</v>
      </c>
      <c r="S20" s="6" t="s">
        <v>268</v>
      </c>
    </row>
    <row r="21" spans="1:16" ht="11.25">
      <c r="A21" s="7"/>
      <c r="B21" s="9">
        <f>+B12/B9-1</f>
        <v>0.030556490294106675</v>
      </c>
      <c r="C21" s="9">
        <f aca="true" t="shared" si="4" ref="C21:O21">+C12/C9-1</f>
        <v>-0.005066240416136125</v>
      </c>
      <c r="D21" s="9">
        <f t="shared" si="4"/>
        <v>0.10677481889603091</v>
      </c>
      <c r="E21" s="9">
        <f t="shared" si="4"/>
        <v>0.019985302575244335</v>
      </c>
      <c r="F21" s="9">
        <f t="shared" si="4"/>
        <v>0.0014375028521882438</v>
      </c>
      <c r="G21" s="9">
        <f t="shared" si="4"/>
        <v>-0.00935699776897203</v>
      </c>
      <c r="H21" s="9">
        <f t="shared" si="4"/>
        <v>-0.009351967737449618</v>
      </c>
      <c r="I21" s="9">
        <f t="shared" si="4"/>
        <v>0.143114207415723</v>
      </c>
      <c r="J21" s="9">
        <f t="shared" si="4"/>
        <v>0.1438022284122562</v>
      </c>
      <c r="K21" s="9">
        <f t="shared" si="4"/>
        <v>0.06947284820808108</v>
      </c>
      <c r="L21" s="9">
        <f t="shared" si="4"/>
        <v>0.00457241720217505</v>
      </c>
      <c r="M21" s="9">
        <f t="shared" si="4"/>
        <v>-0.014651461792162701</v>
      </c>
      <c r="N21" s="9">
        <f t="shared" si="4"/>
        <v>0.0030143180105501877</v>
      </c>
      <c r="O21" s="9">
        <f t="shared" si="4"/>
        <v>0.0035929118070063826</v>
      </c>
      <c r="P21" s="9">
        <f>+P12/P9-1</f>
        <v>0.04170357787907464</v>
      </c>
    </row>
    <row r="22" spans="1:15" ht="11.25">
      <c r="A22" s="26" t="s">
        <v>79</v>
      </c>
      <c r="B22" s="9"/>
      <c r="C22" s="9"/>
      <c r="D22" s="9"/>
      <c r="E22" s="9"/>
      <c r="F22" s="9"/>
      <c r="G22" s="9"/>
      <c r="H22" s="9"/>
      <c r="I22" s="9"/>
      <c r="J22" s="9"/>
      <c r="K22" s="9"/>
      <c r="L22" s="9"/>
      <c r="M22" s="9"/>
      <c r="N22" s="9"/>
      <c r="O22" s="9"/>
    </row>
    <row r="23" spans="1:15" ht="11.25">
      <c r="A23" s="7"/>
      <c r="B23" s="9"/>
      <c r="C23" s="9">
        <f>+C13/C5-1</f>
        <v>-0.004414712095769491</v>
      </c>
      <c r="D23" s="9">
        <f>+D14/D5-1</f>
        <v>0.28110140440119435</v>
      </c>
      <c r="E23" s="9">
        <f>+E13/E8-1</f>
        <v>0.02405068366815022</v>
      </c>
      <c r="F23" s="9"/>
      <c r="G23" s="9">
        <f>+G13/G5-1</f>
        <v>0.016946303083285708</v>
      </c>
      <c r="H23" s="9">
        <f aca="true" t="shared" si="5" ref="H23:N23">+H14/H5-1</f>
        <v>-0.02653633630607477</v>
      </c>
      <c r="I23" s="9">
        <f t="shared" si="5"/>
        <v>0.5112652357696885</v>
      </c>
      <c r="J23" s="9">
        <f t="shared" si="5"/>
        <v>0.3521657250470809</v>
      </c>
      <c r="K23" s="9">
        <f t="shared" si="5"/>
        <v>0.023719692880512122</v>
      </c>
      <c r="L23" s="9">
        <f t="shared" si="5"/>
        <v>0.008500878927708122</v>
      </c>
      <c r="M23" s="9">
        <f t="shared" si="5"/>
        <v>-0.011317388638010795</v>
      </c>
      <c r="N23" s="9">
        <f t="shared" si="5"/>
        <v>-0.03266585760517804</v>
      </c>
      <c r="O23" s="9"/>
    </row>
    <row r="24" spans="1:15" ht="11.25">
      <c r="A24" s="5"/>
      <c r="B24" s="139"/>
      <c r="C24" s="5"/>
      <c r="D24" s="5"/>
      <c r="E24" s="5"/>
      <c r="F24" s="5"/>
      <c r="G24" s="5"/>
      <c r="H24" s="5"/>
      <c r="I24" s="5"/>
      <c r="J24" s="5"/>
      <c r="K24" s="5"/>
      <c r="L24" s="5"/>
      <c r="M24" s="5"/>
      <c r="N24" s="5"/>
      <c r="O24" s="6"/>
    </row>
    <row r="25" spans="1:13" ht="11.25">
      <c r="A25" s="5" t="s">
        <v>78</v>
      </c>
      <c r="B25" s="5" t="s">
        <v>77</v>
      </c>
      <c r="C25" s="5"/>
      <c r="D25" s="5"/>
      <c r="E25" s="5"/>
      <c r="F25" s="5"/>
      <c r="G25" s="5"/>
      <c r="H25" s="5"/>
      <c r="I25" s="5"/>
      <c r="J25" s="5"/>
      <c r="K25" s="5"/>
      <c r="L25" s="5"/>
      <c r="M25" s="5"/>
    </row>
    <row r="26" spans="1:13" ht="11.25">
      <c r="A26" s="5"/>
      <c r="B26" s="5"/>
      <c r="C26" s="5"/>
      <c r="D26" s="5"/>
      <c r="E26" s="5"/>
      <c r="F26" s="5"/>
      <c r="G26" s="5"/>
      <c r="H26" s="5"/>
      <c r="I26" s="5"/>
      <c r="J26" s="5"/>
      <c r="K26" s="5"/>
      <c r="L26" s="5"/>
      <c r="M26" s="5"/>
    </row>
    <row r="27" spans="1:13" ht="11.25">
      <c r="A27" s="5" t="s">
        <v>69</v>
      </c>
      <c r="B27" s="5" t="s">
        <v>75</v>
      </c>
      <c r="C27" s="5"/>
      <c r="D27" s="5"/>
      <c r="E27" s="5"/>
      <c r="F27" s="5"/>
      <c r="G27" s="5"/>
      <c r="H27" s="5"/>
      <c r="I27" s="5"/>
      <c r="J27" s="5"/>
      <c r="K27" s="5"/>
      <c r="L27" s="5"/>
      <c r="M27" s="5"/>
    </row>
    <row r="28" spans="1:15" ht="11.25">
      <c r="A28" s="5"/>
      <c r="B28" s="5" t="s">
        <v>92</v>
      </c>
      <c r="C28" s="5"/>
      <c r="D28" s="5"/>
      <c r="E28" s="5"/>
      <c r="F28" s="5"/>
      <c r="G28" s="5"/>
      <c r="H28" s="5"/>
      <c r="I28" s="5"/>
      <c r="J28" s="5"/>
      <c r="K28" s="5"/>
      <c r="L28" s="5"/>
      <c r="M28" s="5"/>
      <c r="N28" s="5"/>
      <c r="O28" s="6"/>
    </row>
    <row r="29" spans="1:15" ht="11.25">
      <c r="A29" s="5"/>
      <c r="B29" s="5" t="s">
        <v>93</v>
      </c>
      <c r="C29" s="5"/>
      <c r="D29" s="5"/>
      <c r="E29" s="5"/>
      <c r="F29" s="5"/>
      <c r="G29" s="5"/>
      <c r="H29" s="5"/>
      <c r="I29" s="5"/>
      <c r="J29" s="5"/>
      <c r="K29" s="5"/>
      <c r="L29" s="5"/>
      <c r="M29" s="5"/>
      <c r="N29" s="5"/>
      <c r="O29" s="6"/>
    </row>
    <row r="30" spans="1:15" ht="11.25">
      <c r="A30" s="5"/>
      <c r="B30" s="5" t="s">
        <v>221</v>
      </c>
      <c r="C30" s="5"/>
      <c r="D30" s="5"/>
      <c r="E30" s="5"/>
      <c r="F30" s="5"/>
      <c r="G30" s="5"/>
      <c r="H30" s="5"/>
      <c r="I30" s="5"/>
      <c r="J30" s="5"/>
      <c r="K30" s="5"/>
      <c r="L30" s="5"/>
      <c r="M30" s="5"/>
      <c r="N30" s="5"/>
      <c r="O30" s="6"/>
    </row>
    <row r="31" spans="1:15" ht="11.25">
      <c r="A31" s="5"/>
      <c r="B31" s="5" t="s">
        <v>222</v>
      </c>
      <c r="C31" s="5"/>
      <c r="D31" s="5"/>
      <c r="E31" s="5"/>
      <c r="F31" s="5"/>
      <c r="G31" s="5"/>
      <c r="H31" s="5"/>
      <c r="I31" s="5"/>
      <c r="J31" s="5"/>
      <c r="K31" s="5"/>
      <c r="L31" s="5"/>
      <c r="M31" s="5"/>
      <c r="N31" s="5"/>
      <c r="O31" s="6"/>
    </row>
    <row r="32" spans="1:15" ht="11.25">
      <c r="A32" s="5"/>
      <c r="B32" s="5"/>
      <c r="C32" s="5"/>
      <c r="D32" s="5"/>
      <c r="E32" s="5"/>
      <c r="F32" s="5"/>
      <c r="G32" s="5"/>
      <c r="H32" s="5"/>
      <c r="I32" s="5"/>
      <c r="J32" s="5"/>
      <c r="K32" s="5"/>
      <c r="L32" s="5"/>
      <c r="M32" s="5"/>
      <c r="N32" s="5"/>
      <c r="O32" s="6"/>
    </row>
    <row r="33" spans="1:15" ht="11.25">
      <c r="A33" s="4" t="s">
        <v>211</v>
      </c>
      <c r="B33" s="5"/>
      <c r="C33" s="5"/>
      <c r="D33" s="5"/>
      <c r="E33" s="5"/>
      <c r="F33" s="5"/>
      <c r="G33" s="5"/>
      <c r="H33" s="5"/>
      <c r="I33" s="5"/>
      <c r="J33" s="5"/>
      <c r="K33" s="5"/>
      <c r="L33" s="5"/>
      <c r="M33" s="5"/>
      <c r="N33" s="5"/>
      <c r="O33" s="6"/>
    </row>
    <row r="34" spans="1:15" ht="11.25">
      <c r="A34" s="18" t="s">
        <v>27</v>
      </c>
      <c r="B34" s="5"/>
      <c r="C34" s="5"/>
      <c r="D34" s="5"/>
      <c r="E34" s="5"/>
      <c r="F34" s="5"/>
      <c r="G34" s="5"/>
      <c r="H34" s="5"/>
      <c r="I34" s="5"/>
      <c r="J34" s="5"/>
      <c r="K34" s="5"/>
      <c r="L34" s="5"/>
      <c r="M34" s="5"/>
      <c r="N34" s="5"/>
      <c r="O34" s="6"/>
    </row>
    <row r="35" spans="1:15" ht="11.25">
      <c r="A35" s="5"/>
      <c r="B35" s="5"/>
      <c r="C35" s="5"/>
      <c r="D35" s="5"/>
      <c r="E35" s="5"/>
      <c r="F35" s="5"/>
      <c r="G35" s="5"/>
      <c r="H35" s="5"/>
      <c r="I35" s="5"/>
      <c r="J35" s="5"/>
      <c r="K35" s="5"/>
      <c r="L35" s="5"/>
      <c r="M35" s="5"/>
      <c r="N35" s="5"/>
      <c r="O35" s="6"/>
    </row>
    <row r="36" spans="1:16" ht="11.25">
      <c r="A36" s="5"/>
      <c r="B36" s="19" t="s">
        <v>175</v>
      </c>
      <c r="C36" s="20" t="s">
        <v>0</v>
      </c>
      <c r="D36" s="20" t="s">
        <v>29</v>
      </c>
      <c r="E36" s="20" t="s">
        <v>1</v>
      </c>
      <c r="F36" s="20" t="s">
        <v>2</v>
      </c>
      <c r="G36" s="20" t="s">
        <v>3</v>
      </c>
      <c r="H36" s="20" t="s">
        <v>4</v>
      </c>
      <c r="I36" s="20" t="s">
        <v>5</v>
      </c>
      <c r="J36" s="20" t="s">
        <v>30</v>
      </c>
      <c r="K36" s="20" t="s">
        <v>6</v>
      </c>
      <c r="L36" s="20" t="s">
        <v>7</v>
      </c>
      <c r="M36" s="20" t="s">
        <v>8</v>
      </c>
      <c r="N36" s="20" t="s">
        <v>9</v>
      </c>
      <c r="O36" s="21" t="s">
        <v>31</v>
      </c>
      <c r="P36" s="29"/>
    </row>
    <row r="37" spans="1:16" ht="11.25">
      <c r="A37" s="5">
        <v>1990</v>
      </c>
      <c r="B37" s="90">
        <f>SUM(C37:O37)-C37-L37-O37</f>
        <v>1763</v>
      </c>
      <c r="C37" s="90">
        <f>+basedata_road!C22</f>
        <v>273</v>
      </c>
      <c r="D37" s="90">
        <f>+basedata_road!D22</f>
        <v>0</v>
      </c>
      <c r="E37" s="90">
        <f>+basedata_road!E22</f>
        <v>357</v>
      </c>
      <c r="F37" s="90">
        <f>+basedata_road!F22</f>
        <v>41</v>
      </c>
      <c r="G37" s="90">
        <f>+basedata_road!G22</f>
        <v>267</v>
      </c>
      <c r="H37" s="90">
        <f>+basedata_road!H22</f>
        <v>0</v>
      </c>
      <c r="I37" s="90">
        <f>+basedata_road!I22</f>
        <v>421</v>
      </c>
      <c r="J37" s="90">
        <f>+basedata_road!J22</f>
        <v>0</v>
      </c>
      <c r="K37" s="90">
        <f>+basedata_road!K22</f>
        <v>257</v>
      </c>
      <c r="L37" s="90">
        <f>+basedata_road!L22</f>
        <v>113</v>
      </c>
      <c r="M37" s="90">
        <f>+basedata_road!M22</f>
        <v>192</v>
      </c>
      <c r="N37" s="90">
        <f>+basedata_road!N22</f>
        <v>228</v>
      </c>
      <c r="O37" s="90">
        <f>+basedata_road!O22</f>
        <v>281</v>
      </c>
      <c r="P37" s="132"/>
    </row>
    <row r="38" spans="1:16" ht="11.25">
      <c r="A38" s="5">
        <v>1991</v>
      </c>
      <c r="B38" s="90">
        <f aca="true" t="shared" si="6" ref="B38:B48">SUM(C38:O38)-C38-L38-O38</f>
        <v>1740</v>
      </c>
      <c r="C38" s="90">
        <f>+basedata_road!C23</f>
        <v>276</v>
      </c>
      <c r="D38" s="90">
        <f>+basedata_road!D23</f>
        <v>0</v>
      </c>
      <c r="E38" s="90">
        <f>+basedata_road!E23</f>
        <v>362</v>
      </c>
      <c r="F38" s="90">
        <f>+basedata_road!F23</f>
        <v>50</v>
      </c>
      <c r="G38" s="90">
        <f>+basedata_road!G23</f>
        <v>269</v>
      </c>
      <c r="H38" s="90">
        <f>+basedata_road!H23</f>
        <v>0</v>
      </c>
      <c r="I38" s="90">
        <f>+basedata_road!I23</f>
        <v>376</v>
      </c>
      <c r="J38" s="90">
        <f>+basedata_road!J23</f>
        <v>0</v>
      </c>
      <c r="K38" s="90">
        <f>+basedata_road!K23</f>
        <v>239</v>
      </c>
      <c r="L38" s="90">
        <f>+basedata_road!L23</f>
        <v>113</v>
      </c>
      <c r="M38" s="90">
        <f>+basedata_road!M23</f>
        <v>198</v>
      </c>
      <c r="N38" s="90">
        <f>+basedata_road!N23</f>
        <v>246</v>
      </c>
      <c r="O38" s="90">
        <f>+basedata_road!O23</f>
        <v>387</v>
      </c>
      <c r="P38" s="132"/>
    </row>
    <row r="39" spans="1:16" ht="11.25">
      <c r="A39" s="5">
        <v>1992</v>
      </c>
      <c r="B39" s="90">
        <f t="shared" si="6"/>
        <v>1786</v>
      </c>
      <c r="C39" s="90">
        <f>+basedata_road!C24</f>
        <v>276</v>
      </c>
      <c r="D39" s="90">
        <f>+basedata_road!D24</f>
        <v>0</v>
      </c>
      <c r="E39" s="90">
        <f>+basedata_road!E24</f>
        <v>366</v>
      </c>
      <c r="F39" s="90">
        <f>+basedata_road!F24</f>
        <v>60</v>
      </c>
      <c r="G39" s="90">
        <f>+basedata_road!G24</f>
        <v>269</v>
      </c>
      <c r="H39" s="90">
        <f>+basedata_road!H24</f>
        <v>0</v>
      </c>
      <c r="I39" s="90">
        <f>+basedata_road!I24</f>
        <v>382</v>
      </c>
      <c r="J39" s="90">
        <f>+basedata_road!J24</f>
        <v>0</v>
      </c>
      <c r="K39" s="90">
        <f>+basedata_road!K24</f>
        <v>257</v>
      </c>
      <c r="L39" s="90">
        <f>+basedata_road!L24</f>
        <v>113</v>
      </c>
      <c r="M39" s="90">
        <f>+basedata_road!M24</f>
        <v>198</v>
      </c>
      <c r="N39" s="90">
        <f>+basedata_road!N24</f>
        <v>254</v>
      </c>
      <c r="O39" s="90">
        <f>+basedata_road!O24</f>
        <v>757</v>
      </c>
      <c r="P39" s="132"/>
    </row>
    <row r="40" spans="1:16" ht="11.25">
      <c r="A40" s="5">
        <v>1993</v>
      </c>
      <c r="B40" s="90">
        <f t="shared" si="6"/>
        <v>1966</v>
      </c>
      <c r="C40" s="90">
        <f>+basedata_road!C25</f>
        <v>277</v>
      </c>
      <c r="D40" s="90">
        <f>+basedata_road!D25</f>
        <v>154</v>
      </c>
      <c r="E40" s="90">
        <f>+basedata_road!E25</f>
        <v>390</v>
      </c>
      <c r="F40" s="90">
        <f>+basedata_road!F25</f>
        <v>62</v>
      </c>
      <c r="G40" s="90">
        <f>+basedata_road!G25</f>
        <v>269</v>
      </c>
      <c r="H40" s="90">
        <f>+basedata_road!H25</f>
        <v>0</v>
      </c>
      <c r="I40" s="90">
        <f>+basedata_road!I25</f>
        <v>394</v>
      </c>
      <c r="J40" s="90">
        <f>+basedata_road!J25</f>
        <v>0</v>
      </c>
      <c r="K40" s="90">
        <f>+basedata_road!K25</f>
        <v>231</v>
      </c>
      <c r="L40" s="90">
        <f>+basedata_road!L25</f>
        <v>113</v>
      </c>
      <c r="M40" s="90">
        <f>+basedata_road!M25</f>
        <v>198</v>
      </c>
      <c r="N40" s="90">
        <f>+basedata_road!N25</f>
        <v>268</v>
      </c>
      <c r="O40" s="90">
        <f>+basedata_road!O25</f>
        <v>1070</v>
      </c>
      <c r="P40" s="132"/>
    </row>
    <row r="41" spans="1:16" ht="11.25">
      <c r="A41" s="5">
        <v>1994</v>
      </c>
      <c r="B41" s="90">
        <f t="shared" si="6"/>
        <v>2022</v>
      </c>
      <c r="C41" s="90">
        <f>+basedata_road!C26</f>
        <v>277</v>
      </c>
      <c r="D41" s="90">
        <f>+basedata_road!D26</f>
        <v>159</v>
      </c>
      <c r="E41" s="90">
        <f>+basedata_road!E26</f>
        <v>392</v>
      </c>
      <c r="F41" s="90">
        <f>+basedata_road!F26</f>
        <v>64</v>
      </c>
      <c r="G41" s="90">
        <f>+basedata_road!G26</f>
        <v>293</v>
      </c>
      <c r="H41" s="90">
        <f>+basedata_road!H26</f>
        <v>0</v>
      </c>
      <c r="I41" s="90">
        <f>+basedata_road!I26</f>
        <v>394</v>
      </c>
      <c r="J41" s="90">
        <f>+basedata_road!J26</f>
        <v>0</v>
      </c>
      <c r="K41" s="90">
        <f>+basedata_road!K26</f>
        <v>245</v>
      </c>
      <c r="L41" s="90">
        <f>+basedata_road!L26</f>
        <v>113</v>
      </c>
      <c r="M41" s="90">
        <f>+basedata_road!M26</f>
        <v>198</v>
      </c>
      <c r="N41" s="90">
        <f>+basedata_road!N26</f>
        <v>277</v>
      </c>
      <c r="O41" s="90">
        <f>+basedata_road!O26</f>
        <v>1167</v>
      </c>
      <c r="P41" s="132"/>
    </row>
    <row r="42" spans="1:16" ht="11.25">
      <c r="A42" s="5">
        <v>1995</v>
      </c>
      <c r="B42" s="90">
        <f t="shared" si="6"/>
        <v>2112.5</v>
      </c>
      <c r="C42" s="90">
        <f>+basedata_road!C27</f>
        <v>314</v>
      </c>
      <c r="D42" s="90">
        <f>+basedata_road!D27</f>
        <v>167.5</v>
      </c>
      <c r="E42" s="90">
        <f>+basedata_road!E27</f>
        <v>414</v>
      </c>
      <c r="F42" s="90">
        <f>+basedata_road!F27</f>
        <v>65</v>
      </c>
      <c r="G42" s="90">
        <f>+basedata_road!G27</f>
        <v>335</v>
      </c>
      <c r="H42" s="90">
        <f>+basedata_road!H27</f>
        <v>0</v>
      </c>
      <c r="I42" s="90">
        <f>+basedata_road!I27</f>
        <v>394</v>
      </c>
      <c r="J42" s="90">
        <f>+basedata_road!J27</f>
        <v>0</v>
      </c>
      <c r="K42" s="90">
        <f>+basedata_road!K27</f>
        <v>246</v>
      </c>
      <c r="L42" s="90">
        <f>+basedata_road!L27</f>
        <v>113</v>
      </c>
      <c r="M42" s="90">
        <f>+basedata_road!M27</f>
        <v>198</v>
      </c>
      <c r="N42" s="90">
        <f>+basedata_road!N27</f>
        <v>293</v>
      </c>
      <c r="O42" s="90">
        <f>+basedata_road!O27</f>
        <v>1246</v>
      </c>
      <c r="P42" s="132"/>
    </row>
    <row r="43" spans="1:16" ht="11.25">
      <c r="A43" s="5">
        <v>1996</v>
      </c>
      <c r="B43" s="90">
        <f t="shared" si="6"/>
        <v>2235</v>
      </c>
      <c r="C43" s="90">
        <f>+basedata_road!C28</f>
        <v>314</v>
      </c>
      <c r="D43" s="90">
        <f>+basedata_road!D28</f>
        <v>194</v>
      </c>
      <c r="E43" s="90">
        <f>+basedata_road!E28</f>
        <v>423</v>
      </c>
      <c r="F43" s="90">
        <f>+basedata_road!F28</f>
        <v>66</v>
      </c>
      <c r="G43" s="90">
        <f>+basedata_road!G28</f>
        <v>365</v>
      </c>
      <c r="H43" s="90">
        <f>+basedata_road!H28</f>
        <v>0</v>
      </c>
      <c r="I43" s="90">
        <f>+basedata_road!I28</f>
        <v>404</v>
      </c>
      <c r="J43" s="90">
        <f>+basedata_road!J28</f>
        <v>0</v>
      </c>
      <c r="K43" s="90">
        <f>+basedata_road!K28</f>
        <v>258</v>
      </c>
      <c r="L43" s="90">
        <f>+basedata_road!L28</f>
        <v>113</v>
      </c>
      <c r="M43" s="90">
        <f>+basedata_road!M28</f>
        <v>215</v>
      </c>
      <c r="N43" s="90">
        <f>+basedata_road!N28</f>
        <v>310</v>
      </c>
      <c r="O43" s="90">
        <f>+basedata_road!O28</f>
        <v>1405</v>
      </c>
      <c r="P43" s="132"/>
    </row>
    <row r="44" spans="1:16" ht="11.25">
      <c r="A44" s="5">
        <v>1997</v>
      </c>
      <c r="B44" s="90">
        <f t="shared" si="6"/>
        <v>2356</v>
      </c>
      <c r="C44" s="90">
        <f>+basedata_road!C29</f>
        <v>314</v>
      </c>
      <c r="D44" s="90">
        <f>+basedata_road!D29</f>
        <v>199</v>
      </c>
      <c r="E44" s="90">
        <f>+basedata_road!E29</f>
        <v>485</v>
      </c>
      <c r="F44" s="90">
        <f>+basedata_road!F29</f>
        <v>68</v>
      </c>
      <c r="G44" s="90">
        <f>+basedata_road!G29</f>
        <v>381</v>
      </c>
      <c r="H44" s="90">
        <f>+basedata_road!H29</f>
        <v>0</v>
      </c>
      <c r="I44" s="90">
        <f>+basedata_road!I29</f>
        <v>410</v>
      </c>
      <c r="J44" s="90">
        <f>+basedata_road!J29</f>
        <v>0</v>
      </c>
      <c r="K44" s="90">
        <f>+basedata_road!K29</f>
        <v>264</v>
      </c>
      <c r="L44" s="90">
        <f>+basedata_road!L29</f>
        <v>113</v>
      </c>
      <c r="M44" s="90">
        <f>+basedata_road!M29</f>
        <v>219</v>
      </c>
      <c r="N44" s="90">
        <f>+basedata_road!N29</f>
        <v>330</v>
      </c>
      <c r="O44" s="90">
        <f>+basedata_road!O29</f>
        <v>1528</v>
      </c>
      <c r="P44" s="132"/>
    </row>
    <row r="45" spans="1:16" ht="11.25">
      <c r="A45" s="5">
        <v>1998</v>
      </c>
      <c r="B45" s="90">
        <f t="shared" si="6"/>
        <v>2571</v>
      </c>
      <c r="C45" s="90">
        <f>+basedata_road!C30</f>
        <v>319</v>
      </c>
      <c r="D45" s="90">
        <f>+basedata_road!D30</f>
        <v>204</v>
      </c>
      <c r="E45" s="90">
        <f>+basedata_road!E30</f>
        <v>499</v>
      </c>
      <c r="F45" s="90">
        <f>+basedata_road!F30</f>
        <v>74</v>
      </c>
      <c r="G45" s="90">
        <f>+basedata_road!G30</f>
        <v>448</v>
      </c>
      <c r="H45" s="90">
        <f>+basedata_road!H30</f>
        <v>0</v>
      </c>
      <c r="I45" s="90">
        <f>+basedata_road!I30</f>
        <v>417</v>
      </c>
      <c r="J45" s="90">
        <f>+basedata_road!J30</f>
        <v>0</v>
      </c>
      <c r="K45" s="90">
        <f>+basedata_road!K30</f>
        <v>268</v>
      </c>
      <c r="L45" s="90">
        <f>+basedata_road!L30</f>
        <v>113</v>
      </c>
      <c r="M45" s="90">
        <f>+basedata_road!M30</f>
        <v>292</v>
      </c>
      <c r="N45" s="90">
        <f>+basedata_road!N30</f>
        <v>369</v>
      </c>
      <c r="O45" s="90">
        <f>+basedata_road!O30</f>
        <v>1726</v>
      </c>
      <c r="P45" s="132"/>
    </row>
    <row r="46" spans="1:16" ht="11.25">
      <c r="A46" s="5">
        <v>1999</v>
      </c>
      <c r="B46" s="90">
        <f t="shared" si="6"/>
        <v>2678</v>
      </c>
      <c r="C46" s="90">
        <f>+basedata_road!C31</f>
        <v>324</v>
      </c>
      <c r="D46" s="90">
        <f>+basedata_road!D31</f>
        <v>216</v>
      </c>
      <c r="E46" s="90">
        <f>+basedata_road!E31</f>
        <v>499</v>
      </c>
      <c r="F46" s="90">
        <f>+basedata_road!F31</f>
        <v>87</v>
      </c>
      <c r="G46" s="90">
        <f>+basedata_road!G31</f>
        <v>448</v>
      </c>
      <c r="H46" s="90">
        <f>+basedata_road!H31</f>
        <v>0</v>
      </c>
      <c r="I46" s="90">
        <f>+basedata_road!I31</f>
        <v>417</v>
      </c>
      <c r="J46" s="90">
        <f>+basedata_road!J31</f>
        <v>0</v>
      </c>
      <c r="K46" s="90">
        <f>+basedata_road!K31</f>
        <v>317</v>
      </c>
      <c r="L46" s="90">
        <f>+basedata_road!L31</f>
        <v>113</v>
      </c>
      <c r="M46" s="90">
        <f>+basedata_road!M31</f>
        <v>295</v>
      </c>
      <c r="N46" s="90">
        <f>+basedata_road!N31</f>
        <v>399</v>
      </c>
      <c r="O46" s="90">
        <f>+basedata_road!O31</f>
        <v>1749</v>
      </c>
      <c r="P46" s="132"/>
    </row>
    <row r="47" spans="1:16" ht="11.25">
      <c r="A47" s="5">
        <v>2000</v>
      </c>
      <c r="B47" s="90">
        <f t="shared" si="6"/>
        <v>2778</v>
      </c>
      <c r="C47" s="90">
        <f>+basedata_road!C32</f>
        <v>324</v>
      </c>
      <c r="D47" s="90">
        <f>+basedata_road!D32</f>
        <v>240</v>
      </c>
      <c r="E47" s="90">
        <f>+basedata_road!E32</f>
        <v>499</v>
      </c>
      <c r="F47" s="90">
        <f>+basedata_road!F32</f>
        <v>93</v>
      </c>
      <c r="G47" s="90">
        <f>+basedata_road!G32</f>
        <v>448</v>
      </c>
      <c r="H47" s="90">
        <f>+basedata_road!H32</f>
        <v>0</v>
      </c>
      <c r="I47" s="90">
        <f>+basedata_road!I32</f>
        <v>417</v>
      </c>
      <c r="J47" s="90">
        <f>+basedata_road!J32</f>
        <v>0</v>
      </c>
      <c r="K47" s="90">
        <f>+basedata_road!K32</f>
        <v>358</v>
      </c>
      <c r="L47" s="90">
        <f>+basedata_road!L32</f>
        <v>113</v>
      </c>
      <c r="M47" s="90">
        <f>+basedata_road!M32</f>
        <v>296</v>
      </c>
      <c r="N47" s="90">
        <f>+basedata_road!N32</f>
        <v>427</v>
      </c>
      <c r="O47" s="90">
        <f>+basedata_road!O32</f>
        <v>1773</v>
      </c>
      <c r="P47" s="132"/>
    </row>
    <row r="48" spans="1:16" ht="11.25">
      <c r="A48" s="5">
        <v>2001</v>
      </c>
      <c r="B48" s="90" t="e">
        <f t="shared" si="6"/>
        <v>#N/A</v>
      </c>
      <c r="C48" s="90" t="e">
        <f>+basedata_road!C33</f>
        <v>#N/A</v>
      </c>
      <c r="D48" s="90">
        <f>+basedata_road!D33</f>
        <v>257</v>
      </c>
      <c r="E48" s="90">
        <f>+basedata_road!E33</f>
        <v>516.5</v>
      </c>
      <c r="F48" s="90" t="e">
        <f>+basedata_road!F33</f>
        <v>#N/A</v>
      </c>
      <c r="G48" s="90" t="e">
        <f>+basedata_road!G33</f>
        <v>#N/A</v>
      </c>
      <c r="H48" s="90">
        <f>+basedata_road!H33</f>
        <v>0</v>
      </c>
      <c r="I48" s="90">
        <f>+basedata_road!I33</f>
        <v>417</v>
      </c>
      <c r="J48" s="90">
        <f>+basedata_road!J33</f>
        <v>0</v>
      </c>
      <c r="K48" s="90" t="e">
        <f>+basedata_road!K33</f>
        <v>#N/A</v>
      </c>
      <c r="L48" s="90" t="e">
        <f>+basedata_road!L33</f>
        <v>#N/A</v>
      </c>
      <c r="M48" s="90">
        <f>+basedata_road!M33</f>
        <v>296.4</v>
      </c>
      <c r="N48" s="90">
        <f>+basedata_road!N33</f>
        <v>435</v>
      </c>
      <c r="O48" s="90">
        <f>+basedata_road!O33</f>
        <v>1851</v>
      </c>
      <c r="P48" s="132"/>
    </row>
    <row r="49" spans="1:16" ht="11.25">
      <c r="A49" s="5"/>
      <c r="B49" s="90"/>
      <c r="C49" s="90"/>
      <c r="D49" s="90"/>
      <c r="E49" s="90"/>
      <c r="F49" s="90"/>
      <c r="G49" s="90"/>
      <c r="H49" s="90"/>
      <c r="I49" s="90"/>
      <c r="J49" s="90"/>
      <c r="K49" s="90"/>
      <c r="L49" s="90"/>
      <c r="M49" s="90"/>
      <c r="N49" s="90"/>
      <c r="O49" s="90"/>
      <c r="P49" s="132"/>
    </row>
    <row r="50" spans="1:15" ht="11.25">
      <c r="A50" s="5" t="s">
        <v>271</v>
      </c>
      <c r="B50" s="139">
        <f>+B47-B37</f>
        <v>1015</v>
      </c>
      <c r="C50" s="5" t="s">
        <v>258</v>
      </c>
      <c r="D50" s="5"/>
      <c r="E50" s="5"/>
      <c r="F50" s="5"/>
      <c r="G50" s="5"/>
      <c r="H50" s="5"/>
      <c r="I50" s="5"/>
      <c r="J50" s="5"/>
      <c r="K50" s="5"/>
      <c r="L50" s="5"/>
      <c r="M50" s="5"/>
      <c r="N50" s="5"/>
      <c r="O50" s="6"/>
    </row>
    <row r="51" spans="1:16" ht="11.25">
      <c r="A51" s="5" t="s">
        <v>271</v>
      </c>
      <c r="B51" s="145">
        <f>+B47/B37-1</f>
        <v>0.5757231990924561</v>
      </c>
      <c r="C51" s="5"/>
      <c r="D51" s="5"/>
      <c r="E51" s="5"/>
      <c r="F51" s="5"/>
      <c r="G51" s="5"/>
      <c r="H51" s="5"/>
      <c r="I51" s="5"/>
      <c r="J51" s="5"/>
      <c r="K51" s="5"/>
      <c r="L51" s="5"/>
      <c r="M51" s="5"/>
      <c r="N51" s="5"/>
      <c r="O51" s="6"/>
      <c r="P51" s="130"/>
    </row>
    <row r="52" spans="1:15" ht="11.25">
      <c r="A52" s="4" t="s">
        <v>262</v>
      </c>
      <c r="B52" s="5"/>
      <c r="C52" s="5"/>
      <c r="D52" s="5"/>
      <c r="E52" s="5"/>
      <c r="F52" s="5"/>
      <c r="G52" s="5"/>
      <c r="H52" s="5"/>
      <c r="I52" s="5"/>
      <c r="J52" s="5"/>
      <c r="K52" s="5"/>
      <c r="L52" s="5"/>
      <c r="M52" s="5"/>
      <c r="N52" s="5"/>
      <c r="O52" s="6"/>
    </row>
    <row r="53" ht="11.25">
      <c r="A53" s="23" t="s">
        <v>206</v>
      </c>
    </row>
    <row r="55" spans="1:16" ht="11.25">
      <c r="A55" s="5"/>
      <c r="B55" s="19" t="s">
        <v>28</v>
      </c>
      <c r="C55" s="20" t="s">
        <v>0</v>
      </c>
      <c r="D55" s="20" t="s">
        <v>29</v>
      </c>
      <c r="E55" s="20" t="s">
        <v>1</v>
      </c>
      <c r="F55" s="20" t="s">
        <v>2</v>
      </c>
      <c r="G55" s="20" t="s">
        <v>3</v>
      </c>
      <c r="H55" s="20" t="s">
        <v>4</v>
      </c>
      <c r="I55" s="20" t="s">
        <v>5</v>
      </c>
      <c r="J55" s="20" t="s">
        <v>30</v>
      </c>
      <c r="K55" s="20" t="s">
        <v>6</v>
      </c>
      <c r="L55" s="20" t="s">
        <v>7</v>
      </c>
      <c r="M55" s="20" t="s">
        <v>8</v>
      </c>
      <c r="N55" s="20" t="s">
        <v>9</v>
      </c>
      <c r="O55" s="21" t="s">
        <v>31</v>
      </c>
      <c r="P55" s="29" t="s">
        <v>175</v>
      </c>
    </row>
    <row r="56" spans="1:16" ht="11.25">
      <c r="A56" s="5">
        <v>1990</v>
      </c>
      <c r="B56" s="90" t="e">
        <f>IF(ISNUMBER(B5/surface_area!B$5*1000),B5/surface_area!B$5*1000,NA())</f>
        <v>#N/A</v>
      </c>
      <c r="C56" s="90">
        <f>IF(ISNUMBER(C5/surface_area!C$5*1000),C5/surface_area!C$5*1000,NA())</f>
        <v>332.648611636665</v>
      </c>
      <c r="D56" s="90">
        <f>IF(ISNUMBER(D5/surface_area!D$5*1000),D5/surface_area!D$5*1000,NA())</f>
        <v>977.5159442222462</v>
      </c>
      <c r="E56" s="90" t="e">
        <f>IF(ISNUMBER(E5/surface_area!E$5*1000),E5/surface_area!E$5*1000,NA())</f>
        <v>#N/A</v>
      </c>
      <c r="F56" s="90" t="e">
        <f>IF(ISNUMBER(F5/surface_area!F$5*1000),F5/surface_area!F$5*1000,NA())</f>
        <v>#N/A</v>
      </c>
      <c r="G56" s="90">
        <f>IF(ISNUMBER(G5/surface_area!G$5*1000),G5/surface_area!G$5*1000,NA())</f>
        <v>319.69257228850904</v>
      </c>
      <c r="H56" s="90">
        <f>IF(ISNUMBER(H5/surface_area!H$5*1000),H5/surface_area!H$5*1000,NA())</f>
        <v>921.8442768892536</v>
      </c>
      <c r="I56" s="90">
        <f>IF(ISNUMBER(I5/surface_area!I$5*1000),I5/surface_area!I$5*1000,NA())</f>
        <v>746.3093415007656</v>
      </c>
      <c r="J56" s="90">
        <f>IF(ISNUMBER(J5/surface_area!J$5*1000),J5/surface_area!J$5*1000,NA())</f>
        <v>5041.139240506329</v>
      </c>
      <c r="K56" s="90">
        <f>IF(ISNUMBER(K5/surface_area!K$5*1000),K5/surface_area!K$5*1000,NA())</f>
        <v>1161.2837200377378</v>
      </c>
      <c r="L56" s="90">
        <f>IF(ISNUMBER(L5/surface_area!L$5*1000),L5/surface_area!L$5*1000,NA())</f>
        <v>305.44777277665685</v>
      </c>
      <c r="M56" s="90">
        <f>IF(ISNUMBER(M5/surface_area!M$5*1000),M5/surface_area!M$5*1000,NA())</f>
        <v>365.79247899502406</v>
      </c>
      <c r="N56" s="90">
        <f>IF(ISNUMBER(N5/surface_area!N$5*1000),N5/surface_area!N$5*1000,NA())</f>
        <v>1952.60663507109</v>
      </c>
      <c r="O56" s="90" t="e">
        <f>IF(ISNUMBER(O5/surface_area!O$5*1000),O5/surface_area!O$5*1000,NA())</f>
        <v>#N/A</v>
      </c>
      <c r="P56" s="90" t="e">
        <f>IF(ISNUMBER(P5/surface_area!P$5*1000),P5/surface_area!P$5*1000,NA())</f>
        <v>#N/A</v>
      </c>
    </row>
    <row r="57" spans="1:16" ht="11.25">
      <c r="A57" s="5">
        <v>1991</v>
      </c>
      <c r="B57" s="90" t="e">
        <f>IF(ISNUMBER(B6/surface_area!B$5*1000),B6/surface_area!B$5*1000,NA())</f>
        <v>#N/A</v>
      </c>
      <c r="C57" s="90">
        <f>IF(ISNUMBER(C6/surface_area!C$5*1000),C6/surface_area!C$5*1000,NA())</f>
        <v>332.72068760473536</v>
      </c>
      <c r="D57" s="90">
        <f>IF(ISNUMBER(D6/surface_area!D$5*1000),D6/surface_area!D$5*1000,NA())</f>
        <v>997.2975894497891</v>
      </c>
      <c r="E57" s="90" t="e">
        <f>IF(ISNUMBER(E6/surface_area!E$5*1000),E6/surface_area!E$5*1000,NA())</f>
        <v>#N/A</v>
      </c>
      <c r="F57" s="90" t="e">
        <f>IF(ISNUMBER(F6/surface_area!F$5*1000),F6/surface_area!F$5*1000,NA())</f>
        <v>#N/A</v>
      </c>
      <c r="G57" s="90">
        <f>IF(ISNUMBER(G6/surface_area!G$5*1000),G6/surface_area!G$5*1000,NA())</f>
        <v>321.3372030527787</v>
      </c>
      <c r="H57" s="90">
        <f>IF(ISNUMBER(H6/surface_area!H$5*1000),H6/surface_area!H$5*1000,NA())</f>
        <v>921.5965566892196</v>
      </c>
      <c r="I57" s="90">
        <f>IF(ISNUMBER(I6/surface_area!I$5*1000),I6/surface_area!I$5*1000,NA())</f>
        <v>752.4196018376723</v>
      </c>
      <c r="J57" s="90" t="e">
        <f>IF(ISNUMBER(J6/surface_area!J$5*1000),J6/surface_area!J$5*1000,NA())</f>
        <v>#N/A</v>
      </c>
      <c r="K57" s="90">
        <f>IF(ISNUMBER(K6/surface_area!K$5*1000),K6/surface_area!K$5*1000,NA())</f>
        <v>1168.4186961318899</v>
      </c>
      <c r="L57" s="90">
        <f>IF(ISNUMBER(L6/surface_area!L$5*1000),L6/surface_area!L$5*1000,NA())</f>
        <v>305.44777277665685</v>
      </c>
      <c r="M57" s="90">
        <f>IF(ISNUMBER(M6/surface_area!M$5*1000),M6/surface_area!M$5*1000,NA())</f>
        <v>365.4457949261767</v>
      </c>
      <c r="N57" s="90">
        <f>IF(ISNUMBER(N6/surface_area!N$5*1000),N6/surface_area!N$5*1000,NA())</f>
        <v>1962.085308056872</v>
      </c>
      <c r="O57" s="90" t="e">
        <f>IF(ISNUMBER(O6/surface_area!O$5*1000),O6/surface_area!O$5*1000,NA())</f>
        <v>#N/A</v>
      </c>
      <c r="P57" s="90" t="e">
        <f>IF(ISNUMBER(P6/surface_area!P$5*1000),P6/surface_area!P$5*1000,NA())</f>
        <v>#N/A</v>
      </c>
    </row>
    <row r="58" spans="1:16" ht="11.25">
      <c r="A58" s="5">
        <v>1992</v>
      </c>
      <c r="B58" s="90" t="e">
        <f>IF(ISNUMBER(B7/surface_area!B$5*1000),B7/surface_area!B$5*1000,NA())</f>
        <v>#N/A</v>
      </c>
      <c r="C58" s="90">
        <f>IF(ISNUMBER(C7/surface_area!C$5*1000),C7/surface_area!C$5*1000,NA())</f>
        <v>332.738706596753</v>
      </c>
      <c r="D58" s="90">
        <f>IF(ISNUMBER(D7/surface_area!D$5*1000),D7/surface_area!D$5*1000,NA())</f>
        <v>1011.9987028429358</v>
      </c>
      <c r="E58" s="90" t="e">
        <f>IF(ISNUMBER(E7/surface_area!E$5*1000),E7/surface_area!E$5*1000,NA())</f>
        <v>#N/A</v>
      </c>
      <c r="F58" s="90" t="e">
        <f>IF(ISNUMBER(F7/surface_area!F$5*1000),F7/surface_area!F$5*1000,NA())</f>
        <v>#N/A</v>
      </c>
      <c r="G58" s="90">
        <f>IF(ISNUMBER(G7/surface_area!G$5*1000),G7/surface_area!G$5*1000,NA())</f>
        <v>321.9391594109427</v>
      </c>
      <c r="H58" s="90">
        <f>IF(ISNUMBER(H7/surface_area!H$5*1000),H7/surface_area!H$5*1000,NA())</f>
        <v>931.9233925281395</v>
      </c>
      <c r="I58" s="90" t="e">
        <f>IF(ISNUMBER(I7/surface_area!I$5*1000),I7/surface_area!I$5*1000,NA())</f>
        <v>#N/A</v>
      </c>
      <c r="J58" s="90">
        <f>IF(ISNUMBER(J7/surface_area!J$5*1000),J7/surface_area!J$5*1000,NA())</f>
        <v>4930.379746835442</v>
      </c>
      <c r="K58" s="90">
        <f>IF(ISNUMBER(K7/surface_area!K$5*1000),K7/surface_area!K$5*1000,NA())</f>
        <v>1173.7051665414076</v>
      </c>
      <c r="L58" s="90">
        <f>IF(ISNUMBER(L7/surface_area!L$5*1000),L7/surface_area!L$5*1000,NA())</f>
        <v>305.44777277665685</v>
      </c>
      <c r="M58" s="90">
        <f>IF(ISNUMBER(M7/surface_area!M$5*1000),M7/surface_area!M$5*1000,NA())</f>
        <v>364.63006770535935</v>
      </c>
      <c r="N58" s="90">
        <f>IF(ISNUMBER(N7/surface_area!N$5*1000),N7/surface_area!N$5*1000,NA())</f>
        <v>1964.553712480253</v>
      </c>
      <c r="O58" s="90" t="e">
        <f>IF(ISNUMBER(O7/surface_area!O$5*1000),O7/surface_area!O$5*1000,NA())</f>
        <v>#N/A</v>
      </c>
      <c r="P58" s="90" t="e">
        <f>IF(ISNUMBER(P7/surface_area!P$5*1000),P7/surface_area!P$5*1000,NA())</f>
        <v>#N/A</v>
      </c>
    </row>
    <row r="59" spans="1:16" ht="11.25">
      <c r="A59" s="5">
        <v>1993</v>
      </c>
      <c r="B59" s="90" t="e">
        <f>IF(ISNUMBER(B8/surface_area!B$5*1000),B8/surface_area!B$5*1000,NA())</f>
        <v>#N/A</v>
      </c>
      <c r="C59" s="90">
        <f>IF(ISNUMBER(C8/surface_area!C$5*1000),C8/surface_area!C$5*1000,NA())</f>
        <v>332.76573508477935</v>
      </c>
      <c r="D59" s="90">
        <f>IF(ISNUMBER(D8/surface_area!D$5*1000),D8/surface_area!D$5*1000,NA())</f>
        <v>1031.1317695384284</v>
      </c>
      <c r="E59" s="90">
        <f>IF(ISNUMBER(E8/surface_area!E$5*1000),E8/surface_area!E$5*1000,NA())</f>
        <v>1581.099586640631</v>
      </c>
      <c r="F59" s="90">
        <f>IF(ISNUMBER(F8/surface_area!F$5*1000),F8/surface_area!F$5*1000,NA())</f>
        <v>969.3766997589936</v>
      </c>
      <c r="G59" s="90">
        <f>IF(ISNUMBER(G8/surface_area!G$5*1000),G8/surface_area!G$5*1000,NA())</f>
        <v>322.0788992798022</v>
      </c>
      <c r="H59" s="90">
        <f>IF(ISNUMBER(H8/surface_area!H$5*1000),H8/surface_area!H$5*1000,NA())</f>
        <v>911.3006858753039</v>
      </c>
      <c r="I59" s="90">
        <f>IF(ISNUMBER(I8/surface_area!I$5*1000),I8/surface_area!I$5*1000,NA())</f>
        <v>868.1929555895865</v>
      </c>
      <c r="J59" s="90">
        <f>IF(ISNUMBER(J8/surface_area!J$5*1000),J8/surface_area!J$5*1000,NA())</f>
        <v>5191.772151898734</v>
      </c>
      <c r="K59" s="90">
        <f>IF(ISNUMBER(K8/surface_area!K$5*1000),K8/surface_area!K$5*1000,NA())</f>
        <v>1119.74351184099</v>
      </c>
      <c r="L59" s="90">
        <f>IF(ISNUMBER(L8/surface_area!L$5*1000),L8/surface_area!L$5*1000,NA())</f>
        <v>305.44777277665685</v>
      </c>
      <c r="M59" s="90">
        <f>IF(ISNUMBER(M8/surface_area!M$5*1000),M8/surface_area!M$5*1000,NA())</f>
        <v>364.3241699975528</v>
      </c>
      <c r="N59" s="90">
        <f>IF(ISNUMBER(N8/surface_area!N$5*1000),N8/surface_area!N$5*1000,NA())</f>
        <v>1964.9980252764615</v>
      </c>
      <c r="O59" s="90" t="e">
        <f>IF(ISNUMBER(O8/surface_area!O$5*1000),O8/surface_area!O$5*1000,NA())</f>
        <v>#N/A</v>
      </c>
      <c r="P59" s="90">
        <f>IF(ISNUMBER(P8/surface_area!P$5*1000),P8/surface_area!P$5*1000,NA())</f>
        <v>771.1600984445099</v>
      </c>
    </row>
    <row r="60" spans="1:16" ht="11.25">
      <c r="A60" s="5">
        <v>1994</v>
      </c>
      <c r="B60" s="90">
        <f>IF(ISNUMBER(B9/surface_area!B$5*1000),B9/surface_area!B$5*1000,NA())</f>
        <v>660.148833234197</v>
      </c>
      <c r="C60" s="90">
        <f>IF(ISNUMBER(C9/surface_area!C$5*1000),C9/surface_area!C$5*1000,NA())</f>
        <v>332.5495071805683</v>
      </c>
      <c r="D60" s="90">
        <f>IF(ISNUMBER(D9/surface_area!D$5*1000),D9/surface_area!D$5*1000,NA())</f>
        <v>1059.4530321046373</v>
      </c>
      <c r="E60" s="90">
        <f>IF(ISNUMBER(E9/surface_area!E$5*1000),E9/surface_area!E$5*1000,NA())</f>
        <v>1587.4014150584537</v>
      </c>
      <c r="F60" s="90">
        <f>IF(ISNUMBER(F9/surface_area!F$5*1000),F9/surface_area!F$5*1000,NA())</f>
        <v>969.0229287814801</v>
      </c>
      <c r="G60" s="90">
        <f>IF(ISNUMBER(G9/surface_area!G$5*1000),G9/surface_area!G$5*1000,NA())</f>
        <v>322.80984628614425</v>
      </c>
      <c r="H60" s="90">
        <f>IF(ISNUMBER(H9/surface_area!H$5*1000),H9/surface_area!H$5*1000,NA())</f>
        <v>890.6779792224683</v>
      </c>
      <c r="I60" s="90">
        <f>IF(ISNUMBER(I9/surface_area!I$5*1000),I9/surface_area!I$5*1000,NA())</f>
        <v>927.6263399693721</v>
      </c>
      <c r="J60" s="90">
        <f>IF(ISNUMBER(J9/surface_area!J$5*1000),J9/surface_area!J$5*1000,NA())</f>
        <v>5453.164556962025</v>
      </c>
      <c r="K60" s="90">
        <f>IF(ISNUMBER(K9/surface_area!K$5*1000),K9/surface_area!K$5*1000,NA())</f>
        <v>1127.5085149591441</v>
      </c>
      <c r="L60" s="90">
        <f>IF(ISNUMBER(L9/surface_area!L$5*1000),L9/surface_area!L$5*1000,NA())</f>
        <v>305.4981102474506</v>
      </c>
      <c r="M60" s="90">
        <f>IF(ISNUMBER(M9/surface_area!M$5*1000),M9/surface_area!M$5*1000,NA())</f>
        <v>364.8136063300432</v>
      </c>
      <c r="N60" s="90">
        <f>IF(ISNUMBER(N9/surface_area!N$5*1000),N9/surface_area!N$5*1000,NA())</f>
        <v>1965.3436018957345</v>
      </c>
      <c r="O60" s="90">
        <f>IF(ISNUMBER(O9/surface_area!O$5*1000),O9/surface_area!O$5*1000,NA())</f>
        <v>491.7664216619451</v>
      </c>
      <c r="P60" s="90">
        <f>IF(ISNUMBER(P9/surface_area!P$5*1000),P9/surface_area!P$5*1000,NA())</f>
        <v>776.3020992716813</v>
      </c>
    </row>
    <row r="61" spans="1:16" ht="11.25">
      <c r="A61" s="5">
        <v>1995</v>
      </c>
      <c r="B61" s="90">
        <f>IF(ISNUMBER(B10/surface_area!B$5*1000),B10/surface_area!B$5*1000,NA())</f>
        <v>671.8194975616775</v>
      </c>
      <c r="C61" s="90">
        <f>IF(ISNUMBER(C10/surface_area!C$5*1000),C10/surface_area!C$5*1000,NA())</f>
        <v>331.1620447952142</v>
      </c>
      <c r="D61" s="90">
        <f>IF(ISNUMBER(D10/surface_area!D$5*1000),D10/surface_area!D$5*1000,NA())</f>
        <v>1115.2848340719922</v>
      </c>
      <c r="E61" s="90">
        <f>IF(ISNUMBER(E10/surface_area!E$5*1000),E10/surface_area!E$5*1000,NA())</f>
        <v>1592.7205639946237</v>
      </c>
      <c r="F61" s="90">
        <f>IF(ISNUMBER(F10/surface_area!F$5*1000),F10/surface_area!F$5*1000,NA())</f>
        <v>968.8902646649126</v>
      </c>
      <c r="G61" s="90">
        <f>IF(ISNUMBER(G10/surface_area!G$5*1000),G10/surface_area!G$5*1000,NA())</f>
        <v>323.2613135547673</v>
      </c>
      <c r="H61" s="90">
        <f>IF(ISNUMBER(H10/surface_area!H$5*1000),H10/surface_area!H$5*1000,NA())</f>
        <v>870.0552725696325</v>
      </c>
      <c r="I61" s="90">
        <f>IF(ISNUMBER(I10/surface_area!I$5*1000),I10/surface_area!I$5*1000,NA())</f>
        <v>957.3200612557428</v>
      </c>
      <c r="J61" s="90">
        <f>IF(ISNUMBER(J10/surface_area!J$5*1000),J10/surface_area!J$5*1000,NA())</f>
        <v>5714.556962025316</v>
      </c>
      <c r="K61" s="90">
        <f>IF(ISNUMBER(K10/surface_area!K$5*1000),K10/surface_area!K$5*1000,NA())</f>
        <v>1191.2275932647874</v>
      </c>
      <c r="L61" s="90">
        <f>IF(ISNUMBER(L10/surface_area!L$5*1000),L10/surface_area!L$5*1000,NA())</f>
        <v>305.6281487136679</v>
      </c>
      <c r="M61" s="90">
        <f>IF(ISNUMBER(M10/surface_area!M$5*1000),M10/surface_area!M$5*1000,NA())</f>
        <v>364.3853495391141</v>
      </c>
      <c r="N61" s="90">
        <f>IF(ISNUMBER(N10/surface_area!N$5*1000),N10/surface_area!N$5*1000,NA())</f>
        <v>1966.6271721958926</v>
      </c>
      <c r="O61" s="90">
        <f>IF(ISNUMBER(O10/surface_area!O$5*1000),O10/surface_area!O$5*1000,NA())</f>
        <v>492.1174732032808</v>
      </c>
      <c r="P61" s="90">
        <f>IF(ISNUMBER(P10/surface_area!P$5*1000),P10/surface_area!P$5*1000,NA())</f>
        <v>795.6539196976188</v>
      </c>
    </row>
    <row r="62" spans="1:16" ht="11.25">
      <c r="A62" s="5">
        <v>1996</v>
      </c>
      <c r="B62" s="90">
        <f>IF(ISNUMBER(B11/surface_area!B$5*1000),B11/surface_area!B$5*1000,NA())</f>
        <v>676.3547668078911</v>
      </c>
      <c r="C62" s="90">
        <f>IF(ISNUMBER(C11/surface_area!C$5*1000),C11/surface_area!C$5*1000,NA())</f>
        <v>330.8286934428888</v>
      </c>
      <c r="D62" s="90">
        <f>IF(ISNUMBER(D11/surface_area!D$5*1000),D11/surface_area!D$5*1000,NA())</f>
        <v>1143.9303859042266</v>
      </c>
      <c r="E62" s="90">
        <f>IF(ISNUMBER(E11/surface_area!E$5*1000),E11/surface_area!E$5*1000,NA())</f>
        <v>1598.039712930794</v>
      </c>
      <c r="F62" s="90">
        <f>IF(ISNUMBER(F11/surface_area!F$5*1000),F11/surface_area!F$5*1000,NA())</f>
        <v>976.5847834258296</v>
      </c>
      <c r="G62" s="90">
        <f>IF(ISNUMBER(G11/surface_area!G$5*1000),G11/surface_area!G$5*1000,NA())</f>
        <v>323.00333225841126</v>
      </c>
      <c r="H62" s="90">
        <f>IF(ISNUMBER(H11/surface_area!H$5*1000),H11/surface_area!H$5*1000,NA())</f>
        <v>878.3074517332673</v>
      </c>
      <c r="I62" s="90">
        <f>IF(ISNUMBER(I11/surface_area!I$5*1000),I11/surface_area!I$5*1000,NA())</f>
        <v>1013.9663093415007</v>
      </c>
      <c r="J62" s="90">
        <f>IF(ISNUMBER(J11/surface_area!J$5*1000),J11/surface_area!J$5*1000,NA())</f>
        <v>5975.949367088608</v>
      </c>
      <c r="K62" s="90">
        <f>IF(ISNUMBER(K11/surface_area!K$5*1000),K11/surface_area!K$5*1000,NA())</f>
        <v>1199.2580392407694</v>
      </c>
      <c r="L62" s="90">
        <f>IF(ISNUMBER(L11/surface_area!L$5*1000),L11/surface_area!L$5*1000,NA())</f>
        <v>306.8907802727452</v>
      </c>
      <c r="M62" s="90">
        <f>IF(ISNUMBER(M11/surface_area!M$5*1000),M11/surface_area!M$5*1000,NA())</f>
        <v>364.36495635859364</v>
      </c>
      <c r="N62" s="90">
        <f>IF(ISNUMBER(N11/surface_area!N$5*1000),N11/surface_area!N$5*1000,NA())</f>
        <v>1967.6145339652448</v>
      </c>
      <c r="O62" s="90">
        <f>IF(ISNUMBER(O11/surface_area!O$5*1000),O11/surface_area!O$5*1000,NA())</f>
        <v>492.5446719539503</v>
      </c>
      <c r="P62" s="90">
        <f>IF(ISNUMBER(P11/surface_area!P$5*1000),P11/surface_area!P$5*1000,NA())</f>
        <v>802.8587484490538</v>
      </c>
    </row>
    <row r="63" spans="1:16" ht="11.25">
      <c r="A63" s="5">
        <v>1997</v>
      </c>
      <c r="B63" s="90">
        <f>IF(ISNUMBER(B12/surface_area!B$5*1000),B12/surface_area!B$5*1000,NA())</f>
        <v>680.3206646495837</v>
      </c>
      <c r="C63" s="90">
        <f>IF(ISNUMBER(C12/surface_area!C$5*1000),C12/surface_area!C$5*1000,NA())</f>
        <v>330.864731426924</v>
      </c>
      <c r="D63" s="90">
        <f>IF(ISNUMBER(D12/surface_area!D$5*1000),D12/surface_area!D$5*1000,NA())</f>
        <v>1172.575937736461</v>
      </c>
      <c r="E63" s="90">
        <f>IF(ISNUMBER(E12/surface_area!E$5*1000),E12/surface_area!E$5*1000,NA())</f>
        <v>1619.126112646768</v>
      </c>
      <c r="F63" s="90">
        <f>IF(ISNUMBER(F12/surface_area!F$5*1000),F12/surface_area!F$5*1000,NA())</f>
        <v>970.4159020054393</v>
      </c>
      <c r="G63" s="90">
        <f>IF(ISNUMBER(G12/surface_area!G$5*1000),G12/surface_area!G$5*1000,NA())</f>
        <v>319.7893152746426</v>
      </c>
      <c r="H63" s="90">
        <f>IF(ISNUMBER(H12/surface_area!H$5*1000),H12/surface_area!H$5*1000,NA())</f>
        <v>882.348387496323</v>
      </c>
      <c r="I63" s="90">
        <f>IF(ISNUMBER(I12/surface_area!I$5*1000),I12/surface_area!I$5*1000,NA())</f>
        <v>1060.3828483920367</v>
      </c>
      <c r="J63" s="90">
        <f>IF(ISNUMBER(J12/surface_area!J$5*1000),J12/surface_area!J$5*1000,NA())</f>
        <v>6237.341772151899</v>
      </c>
      <c r="K63" s="90">
        <f>IF(ISNUMBER(K12/surface_area!K$5*1000),K12/surface_area!K$5*1000,NA())</f>
        <v>1205.8397428722196</v>
      </c>
      <c r="L63" s="90">
        <f>IF(ISNUMBER(L12/surface_area!L$5*1000),L12/surface_area!L$5*1000,NA())</f>
        <v>306.894975061978</v>
      </c>
      <c r="M63" s="90">
        <f>IF(ISNUMBER(M12/surface_area!M$5*1000),M12/surface_area!M$5*1000,NA())</f>
        <v>359.46855371563754</v>
      </c>
      <c r="N63" s="90">
        <f>IF(ISNUMBER(N12/surface_area!N$5*1000),N12/surface_area!N$5*1000,NA())</f>
        <v>1971.2677725118483</v>
      </c>
      <c r="O63" s="90">
        <f>IF(ISNUMBER(O12/surface_area!O$5*1000),O12/surface_area!O$5*1000,NA())</f>
        <v>493.53329504462357</v>
      </c>
      <c r="P63" s="90">
        <f>IF(ISNUMBER(P12/surface_area!P$5*1000),P12/surface_area!P$5*1000,NA())</f>
        <v>808.676674326347</v>
      </c>
    </row>
    <row r="64" spans="1:16" ht="11.25">
      <c r="A64" s="5">
        <v>1998</v>
      </c>
      <c r="B64" s="90">
        <f>IF(ISNUMBER(B13/surface_area!B$5*1000),B13/surface_area!B$5*1000,NA())</f>
        <v>683.7379667546368</v>
      </c>
      <c r="C64" s="90">
        <f>IF(ISNUMBER(C13/surface_area!C$5*1000),C13/surface_area!C$5*1000,NA())</f>
        <v>331.18006378723175</v>
      </c>
      <c r="D64" s="90">
        <f>IF(ISNUMBER(D13/surface_area!D$5*1000),D13/surface_area!D$5*1000,NA())</f>
        <v>1191.654956220949</v>
      </c>
      <c r="E64" s="90">
        <f>IF(ISNUMBER(E13/surface_area!E$5*1000),E13/surface_area!E$5*1000,NA())</f>
        <v>1619.126112646768</v>
      </c>
      <c r="F64" s="90">
        <f>IF(ISNUMBER(F13/surface_area!F$5*1000),F13/surface_area!F$5*1000,NA())</f>
        <v>970.4159020054393</v>
      </c>
      <c r="G64" s="90">
        <f>IF(ISNUMBER(G13/surface_area!G$5*1000),G13/surface_area!G$5*1000,NA())</f>
        <v>325.1101795119854</v>
      </c>
      <c r="H64" s="90">
        <f>IF(ISNUMBER(H13/surface_area!H$5*1000),H13/surface_area!H$5*1000,NA())</f>
        <v>895.1679078480856</v>
      </c>
      <c r="I64" s="90">
        <f>IF(ISNUMBER(I13/surface_area!I$5*1000),I13/surface_area!I$5*1000,NA())</f>
        <v>1109.6324655436447</v>
      </c>
      <c r="J64" s="90">
        <f>IF(ISNUMBER(J13/surface_area!J$5*1000),J13/surface_area!J$5*1000,NA())</f>
        <v>6237.341772151899</v>
      </c>
      <c r="K64" s="90">
        <f>IF(ISNUMBER(K13/surface_area!K$5*1000),K13/surface_area!K$5*1000,NA())</f>
        <v>1218.6257735420631</v>
      </c>
      <c r="L64" s="90">
        <f>IF(ISNUMBER(L13/surface_area!L$5*1000),L13/surface_area!L$5*1000,NA())</f>
        <v>307.31025919602666</v>
      </c>
      <c r="M64" s="90">
        <f>IF(ISNUMBER(M13/surface_area!M$5*1000),M13/surface_area!M$5*1000,NA())</f>
        <v>361.18362019740596</v>
      </c>
      <c r="N64" s="90">
        <f>IF(ISNUMBER(N13/surface_area!N$5*1000),N13/surface_area!N$5*1000,NA())</f>
        <v>1844.5892575039495</v>
      </c>
      <c r="O64" s="90">
        <f>IF(ISNUMBER(O13/surface_area!O$5*1000),O13/surface_area!O$5*1000,NA())</f>
        <v>493.53329504462357</v>
      </c>
      <c r="P64" s="90">
        <f>IF(ISNUMBER(P13/surface_area!P$5*1000),P13/surface_area!P$5*1000,NA())</f>
        <v>814.4159632928836</v>
      </c>
    </row>
    <row r="65" spans="1:16" ht="11.25">
      <c r="A65" s="5">
        <v>1999</v>
      </c>
      <c r="B65" s="90" t="e">
        <f>IF(ISNUMBER(B14/surface_area!B$5*1000),B14/surface_area!B$5*1000,NA())</f>
        <v>#N/A</v>
      </c>
      <c r="C65" s="90" t="e">
        <f>IF(ISNUMBER(C14/surface_area!C$5*1000),C14/surface_area!C$5*1000,NA())</f>
        <v>#N/A</v>
      </c>
      <c r="D65" s="90">
        <f>IF(ISNUMBER(D14/surface_area!D$5*1000),D14/surface_area!D$5*1000,NA())</f>
        <v>1252.2970489676793</v>
      </c>
      <c r="E65" s="90">
        <f>IF(ISNUMBER(E14/surface_area!E$5*1000),E14/surface_area!E$5*1000,NA())</f>
        <v>1619.6079425861587</v>
      </c>
      <c r="F65" s="90" t="e">
        <f>IF(ISNUMBER(F14/surface_area!F$5*1000),F14/surface_area!F$5*1000,NA())</f>
        <v>#N/A</v>
      </c>
      <c r="G65" s="90" t="e">
        <f>IF(ISNUMBER(G14/surface_area!G$5*1000),G14/surface_area!G$5*1000,NA())</f>
        <v>#N/A</v>
      </c>
      <c r="H65" s="90">
        <f>IF(ISNUMBER(H14/surface_area!H$5*1000),H14/surface_area!H$5*1000,NA())</f>
        <v>897.3819071358901</v>
      </c>
      <c r="I65" s="90">
        <f>IF(ISNUMBER(I14/surface_area!I$5*1000),I14/surface_area!I$5*1000,NA())</f>
        <v>1127.8713629402757</v>
      </c>
      <c r="J65" s="90">
        <f>IF(ISNUMBER(J14/surface_area!J$5*1000),J14/surface_area!J$5*1000,NA())</f>
        <v>6816.455696202532</v>
      </c>
      <c r="K65" s="90">
        <f>IF(ISNUMBER(K14/surface_area!K$5*1000),K14/surface_area!K$5*1000,NA())</f>
        <v>1188.8290132241711</v>
      </c>
      <c r="L65" s="90">
        <f>IF(ISNUMBER(L14/surface_area!L$5*1000),L14/surface_area!L$5*1000,NA())</f>
        <v>308.04434731176934</v>
      </c>
      <c r="M65" s="90">
        <f>IF(ISNUMBER(M14/surface_area!M$5*1000),M14/surface_area!M$5*1000,NA())</f>
        <v>361.652663349376</v>
      </c>
      <c r="N65" s="90">
        <f>IF(ISNUMBER(N14/surface_area!N$5*1000),N14/surface_area!N$5*1000,NA())</f>
        <v>1888.823064770932</v>
      </c>
      <c r="O65" s="90" t="e">
        <f>IF(ISNUMBER(O14/surface_area!O$5*1000),O14/surface_area!O$5*1000,NA())</f>
        <v>#N/A</v>
      </c>
      <c r="P65" s="90" t="e">
        <f>IF(ISNUMBER(P14/surface_area!P$5*1000),P14/surface_area!P$5*1000,NA())</f>
        <v>#N/A</v>
      </c>
    </row>
    <row r="68" spans="1:15" ht="11.25">
      <c r="A68" s="4" t="s">
        <v>41</v>
      </c>
      <c r="B68" s="5"/>
      <c r="C68" s="5"/>
      <c r="D68" s="5"/>
      <c r="E68" s="5"/>
      <c r="F68" s="5"/>
      <c r="G68" s="5"/>
      <c r="H68" s="5"/>
      <c r="I68" s="5"/>
      <c r="J68" s="5"/>
      <c r="K68" s="5"/>
      <c r="L68" s="5"/>
      <c r="M68" s="5"/>
      <c r="N68" s="5"/>
      <c r="O68" s="6"/>
    </row>
    <row r="69" ht="11.25">
      <c r="A69" s="23" t="s">
        <v>209</v>
      </c>
    </row>
    <row r="71" spans="1:16" ht="11.25">
      <c r="A71" s="5"/>
      <c r="B71" s="19" t="s">
        <v>28</v>
      </c>
      <c r="C71" s="20" t="s">
        <v>0</v>
      </c>
      <c r="D71" s="20" t="s">
        <v>29</v>
      </c>
      <c r="E71" s="20" t="s">
        <v>1</v>
      </c>
      <c r="F71" s="20" t="s">
        <v>2</v>
      </c>
      <c r="G71" s="20" t="s">
        <v>3</v>
      </c>
      <c r="H71" s="20" t="s">
        <v>4</v>
      </c>
      <c r="I71" s="20" t="s">
        <v>5</v>
      </c>
      <c r="J71" s="20" t="s">
        <v>30</v>
      </c>
      <c r="K71" s="20" t="s">
        <v>6</v>
      </c>
      <c r="L71" s="20" t="s">
        <v>7</v>
      </c>
      <c r="M71" s="20" t="s">
        <v>8</v>
      </c>
      <c r="N71" s="20" t="s">
        <v>9</v>
      </c>
      <c r="O71" s="21" t="s">
        <v>31</v>
      </c>
      <c r="P71" s="29" t="s">
        <v>175</v>
      </c>
    </row>
    <row r="72" spans="1:16" ht="11.25">
      <c r="A72" s="5">
        <v>1990</v>
      </c>
      <c r="C72" s="90">
        <f>+C5/'[3]manip_POP'!C6</f>
        <v>4.23499994264937</v>
      </c>
      <c r="D72" s="90">
        <f>+D5/'[3]manip_POP'!D6</f>
        <v>13.279001468428781</v>
      </c>
      <c r="E72" s="90" t="e">
        <f>+E5/'[3]manip_POP'!E6</f>
        <v>#N/A</v>
      </c>
      <c r="F72" s="90" t="e">
        <f>+F5/'[3]manip_POP'!F6</f>
        <v>#N/A</v>
      </c>
      <c r="G72" s="90">
        <f>+G5/'[3]manip_POP'!G6</f>
        <v>2.8694234331583823</v>
      </c>
      <c r="H72" s="90">
        <f>+H5/'[3]manip_POP'!H6</f>
        <v>22.294405523707532</v>
      </c>
      <c r="I72" s="90">
        <f>+I5/'[3]manip_POP'!I6</f>
        <v>13.092266981879726</v>
      </c>
      <c r="J72" s="90">
        <f>+J5/'[3]manip_POP'!J6</f>
        <v>4.5</v>
      </c>
      <c r="K72" s="90">
        <f>+K5/'[3]manip_POP'!K6</f>
        <v>9.525853249035913</v>
      </c>
      <c r="L72" s="90">
        <f>+L5/'[3]manip_POP'!L6</f>
        <v>3.137711835192565</v>
      </c>
      <c r="M72" s="90">
        <f>+M5/'[3]manip_POP'!M6</f>
        <v>3.3857616425313726</v>
      </c>
      <c r="N72" s="90">
        <f>+N5/'[3]manip_POP'!N6</f>
        <v>19.794904133447442</v>
      </c>
      <c r="O72" s="90" t="e">
        <f>+O5/'[3]manip_POP'!O6</f>
        <v>#N/A</v>
      </c>
      <c r="P72" s="90" t="e">
        <f>+P5/'[3]manip_POP'!P6</f>
        <v>#N/A</v>
      </c>
    </row>
    <row r="73" spans="1:16" ht="11.25">
      <c r="A73" s="5">
        <v>1991</v>
      </c>
      <c r="B73" s="90" t="e">
        <f>+B6/'[3]manip_POP'!B7</f>
        <v>#N/A</v>
      </c>
      <c r="C73" s="90">
        <f>+C6/'[3]manip_POP'!C7</f>
        <v>4.278118230367341</v>
      </c>
      <c r="D73" s="90">
        <f>+D6/'[3]manip_POP'!D7</f>
        <v>13.332369942196532</v>
      </c>
      <c r="E73" s="90" t="e">
        <f>+E6/'[3]manip_POP'!E7</f>
        <v>#N/A</v>
      </c>
      <c r="F73" s="90" t="e">
        <f>+F6/'[3]manip_POP'!F7</f>
        <v>#N/A</v>
      </c>
      <c r="G73" s="90">
        <f>+G6/'[3]manip_POP'!G7</f>
        <v>2.8894258650686258</v>
      </c>
      <c r="H73" s="90">
        <f>+H6/'[3]manip_POP'!H7</f>
        <v>22.357529670441934</v>
      </c>
      <c r="I73" s="90">
        <f>+I6/'[3]manip_POP'!I7</f>
        <v>13.131197049469494</v>
      </c>
      <c r="J73" s="90" t="e">
        <f>+J6/'[3]manip_POP'!J7</f>
        <v>#N/A</v>
      </c>
      <c r="K73" s="90">
        <f>+K6/'[3]manip_POP'!K7</f>
        <v>9.55280428814224</v>
      </c>
      <c r="L73" s="90">
        <f>+L6/'[3]manip_POP'!L7</f>
        <v>3.140639904517922</v>
      </c>
      <c r="M73" s="90">
        <f>+M6/'[3]manip_POP'!M7</f>
        <v>3.3917527412251642</v>
      </c>
      <c r="N73" s="90">
        <f>+N6/'[3]manip_POP'!N7</f>
        <v>19.854448667378037</v>
      </c>
      <c r="O73" s="90" t="e">
        <f>+O6/'[3]manip_POP'!O7</f>
        <v>#N/A</v>
      </c>
      <c r="P73" s="90" t="e">
        <f>+P6/'[3]manip_POP'!P7</f>
        <v>#N/A</v>
      </c>
    </row>
    <row r="74" spans="1:16" ht="11.25">
      <c r="A74" s="5">
        <v>1992</v>
      </c>
      <c r="B74" s="90" t="e">
        <f>+B7/'[3]manip_POP'!B8</f>
        <v>#N/A</v>
      </c>
      <c r="C74" s="90">
        <f>+C7/'[3]manip_POP'!C8</f>
        <v>4.324539525298299</v>
      </c>
      <c r="D74" s="90">
        <f>+D7/'[3]manip_POP'!D8</f>
        <v>13.279432624113475</v>
      </c>
      <c r="E74" s="90" t="e">
        <f>+E7/'[3]manip_POP'!E8</f>
        <v>#N/A</v>
      </c>
      <c r="F74" s="90" t="e">
        <f>+F7/'[3]manip_POP'!F8</f>
        <v>#N/A</v>
      </c>
      <c r="G74" s="90">
        <f>+G7/'[3]manip_POP'!G8</f>
        <v>2.901091662872807</v>
      </c>
      <c r="H74" s="90">
        <f>+H7/'[3]manip_POP'!H8</f>
        <v>22.87306384370985</v>
      </c>
      <c r="I74" s="90" t="e">
        <f>+I7/'[3]manip_POP'!I8</f>
        <v>#N/A</v>
      </c>
      <c r="J74" s="90">
        <f>+J7/'[3]manip_POP'!J8</f>
        <v>4.303867403314917</v>
      </c>
      <c r="K74" s="90">
        <f>+K7/'[3]manip_POP'!K8</f>
        <v>9.566010686823928</v>
      </c>
      <c r="L74" s="90">
        <f>+L7/'[3]manip_POP'!L8</f>
        <v>3.195230113306135</v>
      </c>
      <c r="M74" s="90">
        <f>+M7/'[3]manip_POP'!M8</f>
        <v>3.36942779465109</v>
      </c>
      <c r="N74" s="90">
        <f>+N7/'[3]manip_POP'!N8</f>
        <v>19.938551942247642</v>
      </c>
      <c r="O74" s="90" t="e">
        <f>+O7/'[3]manip_POP'!O8</f>
        <v>#N/A</v>
      </c>
      <c r="P74" s="90" t="e">
        <f>+P7/'[3]manip_POP'!P8</f>
        <v>#N/A</v>
      </c>
    </row>
    <row r="75" spans="1:16" ht="11.25">
      <c r="A75" s="5">
        <v>1993</v>
      </c>
      <c r="B75" s="90" t="e">
        <f>+B8/'[3]manip_POP'!B9</f>
        <v>#N/A</v>
      </c>
      <c r="C75" s="90">
        <f>+C8/'[3]manip_POP'!C9</f>
        <v>4.359500961958382</v>
      </c>
      <c r="D75" s="90">
        <f>+D8/'[3]manip_POP'!D9</f>
        <v>13.285515320334262</v>
      </c>
      <c r="E75" s="90">
        <f>+E8/'[3]manip_POP'!E9</f>
        <v>12.07044271454717</v>
      </c>
      <c r="F75" s="90">
        <f>+F8/'[3]manip_POP'!F9</f>
        <v>28.90564425526528</v>
      </c>
      <c r="G75" s="90">
        <f>+G8/'[3]manip_POP'!G9</f>
        <v>2.9108378021294783</v>
      </c>
      <c r="H75" s="90">
        <f>+H8/'[3]manip_POP'!H9</f>
        <v>22.760888857953262</v>
      </c>
      <c r="I75" s="90">
        <f>+I8/'[3]manip_POP'!I9</f>
        <v>15.198177065880303</v>
      </c>
      <c r="J75" s="90">
        <f>+J8/'[3]manip_POP'!J9</f>
        <v>4.470299727520436</v>
      </c>
      <c r="K75" s="90">
        <f>+K8/'[3]manip_POP'!K9</f>
        <v>9.1039028575886</v>
      </c>
      <c r="L75" s="90">
        <f>+L8/'[3]manip_POP'!L9</f>
        <v>3.19996343702511</v>
      </c>
      <c r="M75" s="90">
        <f>+M8/'[3]manip_POP'!M9</f>
        <v>3.3551614458989842</v>
      </c>
      <c r="N75" s="90">
        <f>+N8/'[3]manip_POP'!N9</f>
        <v>19.995247718930205</v>
      </c>
      <c r="O75" s="90" t="e">
        <f>+O8/'[3]manip_POP'!O9</f>
        <v>#N/A</v>
      </c>
      <c r="P75" s="90">
        <f>+P8/'[3]manip_POP'!P9</f>
        <v>7.885518369387388</v>
      </c>
    </row>
    <row r="76" spans="1:16" ht="11.25">
      <c r="A76" s="5">
        <v>1994</v>
      </c>
      <c r="B76" s="90">
        <f>+B9/'[3]manip_POP'!B10</f>
        <v>7.373923898573531</v>
      </c>
      <c r="C76" s="90">
        <f>+C9/'[3]manip_POP'!C10</f>
        <v>4.371476621346345</v>
      </c>
      <c r="D76" s="90">
        <f>+D9/'[3]manip_POP'!D10</f>
        <v>13.389344262295081</v>
      </c>
      <c r="E76" s="90">
        <f>+E9/'[3]manip_POP'!E10</f>
        <v>12.112039265638444</v>
      </c>
      <c r="F76" s="90">
        <f>+F9/'[3]manip_POP'!F10</f>
        <v>29.231851819737134</v>
      </c>
      <c r="G76" s="90">
        <f>+G9/'[3]manip_POP'!G10</f>
        <v>2.92661297002831</v>
      </c>
      <c r="H76" s="90">
        <f>+H9/'[3]manip_POP'!H10</f>
        <v>22.580379899740883</v>
      </c>
      <c r="I76" s="90">
        <f>+I9/'[3]manip_POP'!I10</f>
        <v>16.279613529166724</v>
      </c>
      <c r="J76" s="90">
        <f>+J9/'[3]manip_POP'!J10</f>
        <v>4.6447439353099735</v>
      </c>
      <c r="K76" s="90">
        <f>+K9/'[3]manip_POP'!K10</f>
        <v>9.146819219593192</v>
      </c>
      <c r="L76" s="90">
        <f>+L9/'[3]manip_POP'!L10</f>
        <v>3.203959838846469</v>
      </c>
      <c r="M76" s="90">
        <f>+M9/'[3]manip_POP'!M10</f>
        <v>3.3453559693257287</v>
      </c>
      <c r="N76" s="90">
        <f>+N9/'[3]manip_POP'!N10</f>
        <v>20.01659250320537</v>
      </c>
      <c r="O76" s="90">
        <f>+O9/'[3]manip_POP'!O10</f>
        <v>6.325166002656043</v>
      </c>
      <c r="P76" s="90">
        <f>+P9/'[3]manip_POP'!P10</f>
        <v>7.9410508844588445</v>
      </c>
    </row>
    <row r="77" spans="1:16" ht="11.25">
      <c r="A77" s="5">
        <v>1995</v>
      </c>
      <c r="B77" s="90">
        <f>+B10/'[3]manip_POP'!B11</f>
        <v>7.462555853037164</v>
      </c>
      <c r="C77" s="90">
        <f>+C10/'[3]manip_POP'!C11</f>
        <v>4.372657950773843</v>
      </c>
      <c r="D77" s="90">
        <f>+D10/'[3]manip_POP'!D11</f>
        <v>13.86760752688172</v>
      </c>
      <c r="E77" s="90">
        <f>+E10/'[3]manip_POP'!E11</f>
        <v>12.158980768015207</v>
      </c>
      <c r="F77" s="90">
        <f>+F10/'[3]manip_POP'!F11</f>
        <v>29.52945600299742</v>
      </c>
      <c r="G77" s="90">
        <f>+G10/'[3]manip_POP'!G11</f>
        <v>2.9399745820705836</v>
      </c>
      <c r="H77" s="90">
        <f>+H10/'[3]manip_POP'!H11</f>
        <v>22.338991290949696</v>
      </c>
      <c r="I77" s="90">
        <f>+I10/'[3]manip_POP'!I11</f>
        <v>16.828093033272314</v>
      </c>
      <c r="J77" s="90">
        <f>+J10/'[3]manip_POP'!J11</f>
        <v>4.815466666666667</v>
      </c>
      <c r="K77" s="90">
        <f>+K10/'[3]manip_POP'!K11</f>
        <v>9.65271587021872</v>
      </c>
      <c r="L77" s="90">
        <f>+L10/'[3]manip_POP'!L11</f>
        <v>3.2123432566826673</v>
      </c>
      <c r="M77" s="90">
        <f>+M10/'[3]manip_POP'!M11</f>
        <v>3.331297416175026</v>
      </c>
      <c r="N77" s="90">
        <f>+N10/'[3]manip_POP'!N11</f>
        <v>20.04322001705656</v>
      </c>
      <c r="O77" s="90">
        <f>+O10/'[3]manip_POP'!O11</f>
        <v>6.222664664795352</v>
      </c>
      <c r="P77" s="90">
        <f>+P10/'[3]manip_POP'!P11</f>
        <v>8.148240972586843</v>
      </c>
    </row>
    <row r="78" spans="1:16" ht="11.25">
      <c r="A78" s="5">
        <v>1996</v>
      </c>
      <c r="B78" s="90">
        <f>+B11/'[3]manip_POP'!B12</f>
        <v>7.4728143765665775</v>
      </c>
      <c r="C78" s="90">
        <f>+C11/'[3]manip_POP'!C12</f>
        <v>4.390873869995696</v>
      </c>
      <c r="D78" s="90">
        <f>+D11/'[3]manip_POP'!D12</f>
        <v>14.035145888594165</v>
      </c>
      <c r="E78" s="90">
        <f>+E11/'[3]manip_POP'!E12</f>
        <v>12.217807766733722</v>
      </c>
      <c r="F78" s="90">
        <f>+F11/'[3]manip_POP'!F12</f>
        <v>30.062291725655044</v>
      </c>
      <c r="G78" s="90">
        <f>+G11/'[3]manip_POP'!G12</f>
        <v>2.9478962357006333</v>
      </c>
      <c r="H78" s="90">
        <f>+H11/'[3]manip_POP'!H12</f>
        <v>22.77573355976979</v>
      </c>
      <c r="I78" s="90">
        <f>+I11/'[3]manip_POP'!I12</f>
        <v>17.849065250502083</v>
      </c>
      <c r="J78" s="90">
        <f>+J11/'[3]manip_POP'!J12</f>
        <v>4.995767195767196</v>
      </c>
      <c r="K78" s="90">
        <f>+K11/'[3]manip_POP'!K12</f>
        <v>9.710238748770003</v>
      </c>
      <c r="L78" s="90">
        <f>+L11/'[3]manip_POP'!L12</f>
        <v>3.236077039511457</v>
      </c>
      <c r="M78" s="90">
        <f>+M11/'[3]manip_POP'!M12</f>
        <v>3.3248396430603115</v>
      </c>
      <c r="N78" s="90">
        <f>+N11/'[3]manip_POP'!N12</f>
        <v>20.016382336205513</v>
      </c>
      <c r="O78" s="90">
        <f>+O11/'[3]manip_POP'!O12</f>
        <v>6.1225534236026435</v>
      </c>
      <c r="P78" s="90">
        <f>+P11/'[3]manip_POP'!P12</f>
        <v>8.235218481378732</v>
      </c>
    </row>
    <row r="79" spans="1:16" ht="11.25">
      <c r="A79" s="5">
        <v>1997</v>
      </c>
      <c r="B79" s="90">
        <f>+B12/'[3]manip_POP'!B13</f>
        <v>7.47580677908633</v>
      </c>
      <c r="C79" s="90">
        <f>+C12/'[3]manip_POP'!C13</f>
        <v>4.418154423183256</v>
      </c>
      <c r="D79" s="90">
        <f>+D12/'[3]manip_POP'!D13</f>
        <v>14.216906946264745</v>
      </c>
      <c r="E79" s="90">
        <f>+E12/'[3]manip_POP'!E13</f>
        <v>12.393093626506046</v>
      </c>
      <c r="F79" s="90">
        <f>+F12/'[3]manip_POP'!F13</f>
        <v>30.102463190686883</v>
      </c>
      <c r="G79" s="90">
        <f>+G12/'[3]manip_POP'!G13</f>
        <v>2.9296201833597575</v>
      </c>
      <c r="H79" s="90">
        <f>+H12/'[3]manip_POP'!H13</f>
        <v>23.080943479633465</v>
      </c>
      <c r="I79" s="90">
        <f>+I12/'[3]manip_POP'!I13</f>
        <v>18.68604274611399</v>
      </c>
      <c r="J79" s="90">
        <f>+J12/'[3]manip_POP'!J13</f>
        <v>5.173228346456693</v>
      </c>
      <c r="K79" s="90">
        <f>+K12/'[3]manip_POP'!K13</f>
        <v>9.755446313065976</v>
      </c>
      <c r="L79" s="90">
        <f>+L12/'[3]manip_POP'!L13</f>
        <v>3.2449766421204718</v>
      </c>
      <c r="M79" s="90">
        <f>+M12/'[3]manip_POP'!M13</f>
        <v>3.274407776887978</v>
      </c>
      <c r="N79" s="90">
        <f>+N12/'[3]manip_POP'!N13</f>
        <v>20.097158917038445</v>
      </c>
      <c r="O79" s="90">
        <f>+O12/'[3]manip_POP'!O13</f>
        <v>6.031213034083561</v>
      </c>
      <c r="P79" s="90">
        <f>+P12/'[3]manip_POP'!P13</f>
        <v>8.307720179567292</v>
      </c>
    </row>
    <row r="80" spans="1:16" ht="11.25">
      <c r="A80" s="5">
        <v>1998</v>
      </c>
      <c r="B80" s="90">
        <f>+B13/'[3]manip_POP'!B14</f>
        <v>7.472526947714169</v>
      </c>
      <c r="C80" s="90">
        <f>+C13/'[3]manip_POP'!C14</f>
        <v>4.451974412319757</v>
      </c>
      <c r="D80" s="90">
        <f>+D13/'[3]manip_POP'!D14</f>
        <v>14.298313878080416</v>
      </c>
      <c r="E80" s="90">
        <f>+E13/'[3]manip_POP'!E14</f>
        <v>12.403565517555561</v>
      </c>
      <c r="F80" s="90">
        <f>+F13/'[3]manip_POP'!F14</f>
        <v>30.274288962221462</v>
      </c>
      <c r="G80" s="90">
        <f>+G13/'[3]manip_POP'!G14</f>
        <v>2.990535442294457</v>
      </c>
      <c r="H80" s="90">
        <f>+H13/'[3]manip_POP'!H14</f>
        <v>23.609552603510767</v>
      </c>
      <c r="I80" s="90">
        <f>+I13/'[3]manip_POP'!I14</f>
        <v>19.57081892826275</v>
      </c>
      <c r="J80" s="90">
        <f>+J13/'[3]manip_POP'!J14</f>
        <v>5.1328125</v>
      </c>
      <c r="K80" s="90">
        <f>+K13/'[3]manip_POP'!K14</f>
        <v>9.854807841514509</v>
      </c>
      <c r="L80" s="90">
        <f>+L13/'[3]manip_POP'!L14</f>
        <v>3.255594425281153</v>
      </c>
      <c r="M80" s="90">
        <f>+M13/'[3]manip_POP'!M14</f>
        <v>3.285371960646026</v>
      </c>
      <c r="N80" s="90">
        <f>+N13/'[3]manip_POP'!N14</f>
        <v>18.845931333706243</v>
      </c>
      <c r="O80" s="90">
        <f>+O13/'[3]manip_POP'!O14</f>
        <v>5.930566541044371</v>
      </c>
      <c r="P80" s="90">
        <f>+P13/'[3]manip_POP'!P14</f>
        <v>8.379511910426482</v>
      </c>
    </row>
    <row r="81" spans="1:16" ht="11.25">
      <c r="A81" s="5">
        <v>1999</v>
      </c>
      <c r="B81" s="90" t="e">
        <f>+B14/'[3]manip_POP'!B15</f>
        <v>#N/A</v>
      </c>
      <c r="C81" s="90" t="e">
        <f>+C14/'[3]manip_POP'!C15</f>
        <v>#N/A</v>
      </c>
      <c r="D81" s="90">
        <f>+D14/'[3]manip_POP'!D15</f>
        <v>14.890745501285346</v>
      </c>
      <c r="E81" s="90">
        <f>+E14/'[3]manip_POP'!E15</f>
        <v>12.421927758085749</v>
      </c>
      <c r="F81" s="90" t="e">
        <f>+F14/'[3]manip_POP'!F15</f>
        <v>#N/A</v>
      </c>
      <c r="G81" s="90" t="e">
        <f>+G14/'[3]manip_POP'!G15</f>
        <v>#N/A</v>
      </c>
      <c r="H81" s="90">
        <f>+H14/'[3]manip_POP'!H15</f>
        <v>24.053476146654784</v>
      </c>
      <c r="I81" s="90">
        <f>+I14/'[3]manip_POP'!I15</f>
        <v>19.907288527293122</v>
      </c>
      <c r="J81" s="90">
        <f>+J14/'[3]manip_POP'!J15</f>
        <v>5.580310880829016</v>
      </c>
      <c r="K81" s="90">
        <f>+K14/'[3]manip_POP'!K15</f>
        <v>9.616831375795519</v>
      </c>
      <c r="L81" s="90">
        <f>+L14/'[3]manip_POP'!L15</f>
        <v>3.269878353489902</v>
      </c>
      <c r="M81" s="90">
        <f>+M14/'[3]manip_POP'!M15</f>
        <v>3.2869203035813976</v>
      </c>
      <c r="N81" s="90">
        <f>+N14/'[3]manip_POP'!N15</f>
        <v>19.269152182485822</v>
      </c>
      <c r="O81" s="90" t="e">
        <f>+O14/'[3]manip_POP'!O15</f>
        <v>#N/A</v>
      </c>
      <c r="P81" s="90" t="e">
        <f>+P14/'[3]manip_POP'!P15</f>
        <v>#N/A</v>
      </c>
    </row>
    <row r="84" spans="1:15" ht="11.25">
      <c r="A84" s="4" t="s">
        <v>250</v>
      </c>
      <c r="B84" s="5"/>
      <c r="C84" s="5"/>
      <c r="D84" s="5"/>
      <c r="E84" s="5"/>
      <c r="F84" s="5"/>
      <c r="G84" s="5"/>
      <c r="H84" s="5"/>
      <c r="I84" s="5"/>
      <c r="J84" s="5"/>
      <c r="K84" s="5"/>
      <c r="L84" s="5"/>
      <c r="M84" s="5"/>
      <c r="N84" s="5"/>
      <c r="O84" s="6"/>
    </row>
    <row r="85" ht="11.25">
      <c r="A85" s="23" t="s">
        <v>206</v>
      </c>
    </row>
    <row r="87" spans="1:16" ht="11.25">
      <c r="A87" s="5"/>
      <c r="B87" s="19" t="s">
        <v>175</v>
      </c>
      <c r="C87" s="20" t="s">
        <v>0</v>
      </c>
      <c r="D87" s="20" t="s">
        <v>29</v>
      </c>
      <c r="E87" s="20" t="s">
        <v>1</v>
      </c>
      <c r="F87" s="20" t="s">
        <v>2</v>
      </c>
      <c r="G87" s="20" t="s">
        <v>3</v>
      </c>
      <c r="H87" s="20" t="s">
        <v>4</v>
      </c>
      <c r="I87" s="20" t="s">
        <v>5</v>
      </c>
      <c r="J87" s="20" t="s">
        <v>30</v>
      </c>
      <c r="K87" s="20" t="s">
        <v>6</v>
      </c>
      <c r="L87" s="20" t="s">
        <v>7</v>
      </c>
      <c r="M87" s="20" t="s">
        <v>8</v>
      </c>
      <c r="N87" s="20" t="s">
        <v>9</v>
      </c>
      <c r="O87" s="21" t="s">
        <v>31</v>
      </c>
      <c r="P87" s="29"/>
    </row>
    <row r="88" spans="1:16" ht="11.25">
      <c r="A88" s="5">
        <v>1990</v>
      </c>
      <c r="B88" s="92">
        <f>+B37/'[5]basedata_surface'!B$6*1000</f>
        <v>2.387090484675502</v>
      </c>
      <c r="C88" s="92">
        <f>+C37/'[5]basedata_surface'!D$6*1000</f>
        <v>2.459592410400562</v>
      </c>
      <c r="D88" s="92">
        <f>+D37/'[5]basedata_surface'!E$6*1000</f>
        <v>0</v>
      </c>
      <c r="E88" s="92">
        <f>+E37/'[5]basedata_surface'!F$6*1000</f>
        <v>4.52666548322471</v>
      </c>
      <c r="F88" s="92">
        <f>+F37/'[5]basedata_surface'!G$6*1000</f>
        <v>0.9065381298781701</v>
      </c>
      <c r="G88" s="92">
        <f>+G37/'[5]basedata_surface'!H$6*1000</f>
        <v>2.8700419219606577</v>
      </c>
      <c r="H88" s="92">
        <f>+H37/'[5]basedata_surface'!I$6*1000</f>
        <v>0</v>
      </c>
      <c r="I88" s="92">
        <f>+I37/'[5]basedata_surface'!J$6*1000</f>
        <v>6.447166921898928</v>
      </c>
      <c r="J88" s="92">
        <f>+J37/'[5]basedata_surface'!K$6*1000</f>
        <v>0</v>
      </c>
      <c r="K88" s="92">
        <f>+K37/'[5]basedata_surface'!L$6*1000</f>
        <v>0.8219134272510674</v>
      </c>
      <c r="L88" s="92">
        <f>+L37/'[5]basedata_surface'!M$6*1000</f>
        <v>0.4740111833080947</v>
      </c>
      <c r="M88" s="92">
        <f>+M37/'[5]basedata_surface'!N$6*1000</f>
        <v>3.9154906599233215</v>
      </c>
      <c r="N88" s="92">
        <f>+N37/'[5]basedata_surface'!O$6*1000</f>
        <v>11.255924170616113</v>
      </c>
      <c r="O88" s="92">
        <f>+O37/'[5]basedata_surface'!P$6*1000</f>
        <v>0.36266721733575114</v>
      </c>
      <c r="P88" s="92"/>
    </row>
    <row r="89" spans="1:16" ht="11.25">
      <c r="A89" s="5">
        <v>1991</v>
      </c>
      <c r="B89" s="92">
        <f>+B38/'[5]basedata_surface'!B$6*1000</f>
        <v>2.3559486349037853</v>
      </c>
      <c r="C89" s="92">
        <f>+C38/'[5]basedata_surface'!D$6*1000</f>
        <v>2.486620898426942</v>
      </c>
      <c r="D89" s="92">
        <f>+D38/'[5]basedata_surface'!E$6*1000</f>
        <v>0</v>
      </c>
      <c r="E89" s="92">
        <f>+E38/'[5]basedata_surface'!F$6*1000</f>
        <v>4.590064159460351</v>
      </c>
      <c r="F89" s="92">
        <f>+F38/'[5]basedata_surface'!G$6*1000</f>
        <v>1.105534304729476</v>
      </c>
      <c r="G89" s="92">
        <f>+G38/'[5]basedata_surface'!H$6*1000</f>
        <v>2.891540363323659</v>
      </c>
      <c r="H89" s="92">
        <f>+H38/'[5]basedata_surface'!I$6*1000</f>
        <v>0</v>
      </c>
      <c r="I89" s="92">
        <f>+I38/'[5]basedata_surface'!J$6*1000</f>
        <v>5.758039816232772</v>
      </c>
      <c r="J89" s="92">
        <f>+J38/'[5]basedata_surface'!K$6*1000</f>
        <v>0</v>
      </c>
      <c r="K89" s="92">
        <f>+K38/'[5]basedata_surface'!L$6*1000</f>
        <v>0.7643475062762844</v>
      </c>
      <c r="L89" s="92">
        <f>+L38/'[5]basedata_surface'!M$6*1000</f>
        <v>0.4740111833080947</v>
      </c>
      <c r="M89" s="92">
        <f>+M38/'[5]basedata_surface'!N$6*1000</f>
        <v>4.037849743045926</v>
      </c>
      <c r="N89" s="92">
        <f>+N38/'[5]basedata_surface'!O$6*1000</f>
        <v>12.144549763033176</v>
      </c>
      <c r="O89" s="92">
        <f>+O38/'[5]basedata_surface'!P$6*1000</f>
        <v>0.49947406800332983</v>
      </c>
      <c r="P89" s="92"/>
    </row>
    <row r="90" spans="1:16" ht="11.25">
      <c r="A90" s="5">
        <v>1992</v>
      </c>
      <c r="B90" s="92">
        <f>+B39/'[5]basedata_surface'!B$6*1000</f>
        <v>2.418232334447219</v>
      </c>
      <c r="C90" s="92">
        <f>+C39/'[5]basedata_surface'!D$6*1000</f>
        <v>2.486620898426942</v>
      </c>
      <c r="D90" s="92">
        <f>+D39/'[5]basedata_surface'!E$6*1000</f>
        <v>0</v>
      </c>
      <c r="E90" s="92">
        <f>+E39/'[5]basedata_surface'!F$6*1000</f>
        <v>4.640783100448862</v>
      </c>
      <c r="F90" s="92">
        <f>+F39/'[5]basedata_surface'!G$6*1000</f>
        <v>1.326641165675371</v>
      </c>
      <c r="G90" s="92">
        <f>+G39/'[5]basedata_surface'!H$6*1000</f>
        <v>2.891540363323659</v>
      </c>
      <c r="H90" s="92">
        <f>+H39/'[5]basedata_surface'!I$6*1000</f>
        <v>0</v>
      </c>
      <c r="I90" s="92">
        <f>+I39/'[5]basedata_surface'!J$6*1000</f>
        <v>5.849923430321592</v>
      </c>
      <c r="J90" s="92">
        <f>+J39/'[5]basedata_surface'!K$6*1000</f>
        <v>0</v>
      </c>
      <c r="K90" s="92">
        <f>+K39/'[5]basedata_surface'!L$6*1000</f>
        <v>0.8219134272510674</v>
      </c>
      <c r="L90" s="92">
        <f>+L39/'[5]basedata_surface'!M$6*1000</f>
        <v>0.4740111833080947</v>
      </c>
      <c r="M90" s="92">
        <f>+M39/'[5]basedata_surface'!N$6*1000</f>
        <v>4.037849743045926</v>
      </c>
      <c r="N90" s="92">
        <f>+N39/'[5]basedata_surface'!O$6*1000</f>
        <v>12.539494470774091</v>
      </c>
      <c r="O90" s="92">
        <f>+O39/'[5]basedata_surface'!P$6*1000</f>
        <v>0.9770074146731801</v>
      </c>
      <c r="P90" s="92"/>
    </row>
    <row r="91" spans="1:16" ht="11.25">
      <c r="A91" s="5">
        <v>1993</v>
      </c>
      <c r="B91" s="92">
        <f>+B40/'[5]basedata_surface'!B$6*1000</f>
        <v>2.6619511587476103</v>
      </c>
      <c r="C91" s="92">
        <f>+C40/'[5]basedata_surface'!D$6*1000</f>
        <v>2.4956303944357354</v>
      </c>
      <c r="D91" s="92">
        <f>+D40/'[5]basedata_surface'!E$6*1000</f>
        <v>16.646848989298455</v>
      </c>
      <c r="E91" s="92">
        <f>+E40/'[5]basedata_surface'!F$6*1000</f>
        <v>4.945096746379936</v>
      </c>
      <c r="F91" s="92">
        <f>+F40/'[5]basedata_surface'!G$6*1000</f>
        <v>1.37086253786455</v>
      </c>
      <c r="G91" s="92">
        <f>+G40/'[5]basedata_surface'!H$6*1000</f>
        <v>2.891540363323659</v>
      </c>
      <c r="H91" s="92">
        <f>+H40/'[5]basedata_surface'!I$6*1000</f>
        <v>0</v>
      </c>
      <c r="I91" s="92">
        <f>+I40/'[5]basedata_surface'!J$6*1000</f>
        <v>6.033690658499235</v>
      </c>
      <c r="J91" s="92">
        <f>+J40/'[5]basedata_surface'!K$6*1000</f>
        <v>0</v>
      </c>
      <c r="K91" s="92">
        <f>+K40/'[5]basedata_surface'!L$6*1000</f>
        <v>0.7387626525097143</v>
      </c>
      <c r="L91" s="92">
        <f>+L40/'[5]basedata_surface'!M$6*1000</f>
        <v>0.4740111833080947</v>
      </c>
      <c r="M91" s="92">
        <f>+M40/'[5]basedata_surface'!N$6*1000</f>
        <v>4.037849743045926</v>
      </c>
      <c r="N91" s="92">
        <f>+N40/'[5]basedata_surface'!O$6*1000</f>
        <v>13.230647709320696</v>
      </c>
      <c r="O91" s="92">
        <f>+O40/'[5]basedata_surface'!P$6*1000</f>
        <v>1.38097481334254</v>
      </c>
      <c r="P91" s="92"/>
    </row>
    <row r="92" spans="1:16" ht="11.25">
      <c r="A92" s="5">
        <v>1994</v>
      </c>
      <c r="B92" s="92">
        <f>+B41/'[5]basedata_surface'!B$6*1000</f>
        <v>2.7377747929743985</v>
      </c>
      <c r="C92" s="92">
        <f>+C41/'[5]basedata_surface'!D$6*1000</f>
        <v>2.4956303944357354</v>
      </c>
      <c r="D92" s="92">
        <f>+D41/'[5]basedata_surface'!E$6*1000</f>
        <v>17.18733109934061</v>
      </c>
      <c r="E92" s="92">
        <f>+E41/'[5]basedata_surface'!F$6*1000</f>
        <v>4.970456216874192</v>
      </c>
      <c r="F92" s="92">
        <f>+F41/'[5]basedata_surface'!G$6*1000</f>
        <v>1.415083910053729</v>
      </c>
      <c r="G92" s="92">
        <f>+G41/'[5]basedata_surface'!H$6*1000</f>
        <v>3.149521659679673</v>
      </c>
      <c r="H92" s="92">
        <f>+H41/'[5]basedata_surface'!I$6*1000</f>
        <v>0</v>
      </c>
      <c r="I92" s="92">
        <f>+I41/'[5]basedata_surface'!J$6*1000</f>
        <v>6.033690658499235</v>
      </c>
      <c r="J92" s="92">
        <f>+J41/'[5]basedata_surface'!K$6*1000</f>
        <v>0</v>
      </c>
      <c r="K92" s="92">
        <f>+K41/'[5]basedata_surface'!L$6*1000</f>
        <v>0.7835361466012121</v>
      </c>
      <c r="L92" s="92">
        <f>+L41/'[5]basedata_surface'!M$6*1000</f>
        <v>0.4740111833080947</v>
      </c>
      <c r="M92" s="92">
        <f>+M41/'[5]basedata_surface'!N$6*1000</f>
        <v>4.037849743045926</v>
      </c>
      <c r="N92" s="92">
        <f>+N41/'[5]basedata_surface'!O$6*1000</f>
        <v>13.674960505529226</v>
      </c>
      <c r="O92" s="92">
        <f>+O41/'[5]basedata_surface'!P$6*1000</f>
        <v>1.506165988010041</v>
      </c>
      <c r="P92" s="92"/>
    </row>
    <row r="93" spans="1:16" ht="11.25">
      <c r="A93" s="5">
        <v>1995</v>
      </c>
      <c r="B93" s="92">
        <f>+B42/'[5]basedata_surface'!B$6*1000</f>
        <v>2.8603112018587624</v>
      </c>
      <c r="C93" s="92">
        <f>+C42/'[5]basedata_surface'!D$6*1000</f>
        <v>2.828981746761086</v>
      </c>
      <c r="D93" s="92">
        <f>+D42/'[5]basedata_surface'!E$6*1000</f>
        <v>18.106150686412278</v>
      </c>
      <c r="E93" s="92">
        <f>+E42/'[5]basedata_surface'!F$6*1000</f>
        <v>5.249410392311009</v>
      </c>
      <c r="F93" s="92">
        <f>+F42/'[5]basedata_surface'!G$6*1000</f>
        <v>1.4371945961483186</v>
      </c>
      <c r="G93" s="92">
        <f>+G42/'[5]basedata_surface'!H$6*1000</f>
        <v>3.600988928302698</v>
      </c>
      <c r="H93" s="92">
        <f>+H42/'[5]basedata_surface'!I$6*1000</f>
        <v>0</v>
      </c>
      <c r="I93" s="92">
        <f>+I42/'[5]basedata_surface'!J$6*1000</f>
        <v>6.033690658499235</v>
      </c>
      <c r="J93" s="92">
        <f>+J42/'[5]basedata_surface'!K$6*1000</f>
        <v>0</v>
      </c>
      <c r="K93" s="92">
        <f>+K42/'[5]basedata_surface'!L$6*1000</f>
        <v>0.7867342533220334</v>
      </c>
      <c r="L93" s="92">
        <f>+L42/'[5]basedata_surface'!M$6*1000</f>
        <v>0.4740111833080947</v>
      </c>
      <c r="M93" s="92">
        <f>+M42/'[5]basedata_surface'!N$6*1000</f>
        <v>4.037849743045926</v>
      </c>
      <c r="N93" s="92">
        <f>+N42/'[5]basedata_surface'!O$6*1000</f>
        <v>14.464849921011059</v>
      </c>
      <c r="O93" s="92">
        <f>+O42/'[5]basedata_surface'!P$6*1000</f>
        <v>1.6081258106773877</v>
      </c>
      <c r="P93" s="92"/>
    </row>
    <row r="94" spans="1:16" ht="11.25">
      <c r="A94" s="5">
        <v>1996</v>
      </c>
      <c r="B94" s="92">
        <f>+B43/'[5]basedata_surface'!B$6*1000</f>
        <v>3.026175401729862</v>
      </c>
      <c r="C94" s="92">
        <f>+C43/'[5]basedata_surface'!D$6*1000</f>
        <v>2.828981746761086</v>
      </c>
      <c r="D94" s="92">
        <f>+D43/'[5]basedata_surface'!E$6*1000</f>
        <v>20.97070586963571</v>
      </c>
      <c r="E94" s="92">
        <f>+E43/'[5]basedata_surface'!F$6*1000</f>
        <v>5.363528009535161</v>
      </c>
      <c r="F94" s="92">
        <f>+F43/'[5]basedata_surface'!G$6*1000</f>
        <v>1.459305282242908</v>
      </c>
      <c r="G94" s="92">
        <f>+G43/'[5]basedata_surface'!H$6*1000</f>
        <v>3.923465548747716</v>
      </c>
      <c r="H94" s="92">
        <f>+H43/'[5]basedata_surface'!I$6*1000</f>
        <v>0</v>
      </c>
      <c r="I94" s="92">
        <f>+I43/'[5]basedata_surface'!J$6*1000</f>
        <v>6.1868300153139355</v>
      </c>
      <c r="J94" s="92">
        <f>+J43/'[5]basedata_surface'!K$6*1000</f>
        <v>0</v>
      </c>
      <c r="K94" s="92">
        <f>+K43/'[5]basedata_surface'!L$6*1000</f>
        <v>0.8251115339718886</v>
      </c>
      <c r="L94" s="92">
        <f>+L43/'[5]basedata_surface'!M$6*1000</f>
        <v>0.4740111833080947</v>
      </c>
      <c r="M94" s="92">
        <f>+M43/'[5]basedata_surface'!N$6*1000</f>
        <v>4.384533811893303</v>
      </c>
      <c r="N94" s="92">
        <f>+N43/'[5]basedata_surface'!O$6*1000</f>
        <v>15.304107424960504</v>
      </c>
      <c r="O94" s="92">
        <f>+O43/'[5]basedata_surface'!P$6*1000</f>
        <v>1.8133360866787556</v>
      </c>
      <c r="P94" s="92"/>
    </row>
    <row r="95" spans="1:16" ht="11.25">
      <c r="A95" s="5">
        <v>1997</v>
      </c>
      <c r="B95" s="92">
        <f>+B44/'[5]basedata_surface'!B$6*1000</f>
        <v>3.1900086113984587</v>
      </c>
      <c r="C95" s="92">
        <f>+C44/'[5]basedata_surface'!D$6*1000</f>
        <v>2.828981746761086</v>
      </c>
      <c r="D95" s="92">
        <f>+D44/'[5]basedata_surface'!E$6*1000</f>
        <v>21.51118797967787</v>
      </c>
      <c r="E95" s="92">
        <f>+E44/'[5]basedata_surface'!F$6*1000</f>
        <v>6.149671594857099</v>
      </c>
      <c r="F95" s="92">
        <f>+F44/'[5]basedata_surface'!G$6*1000</f>
        <v>1.503526654432087</v>
      </c>
      <c r="G95" s="92">
        <f>+G44/'[5]basedata_surface'!H$6*1000</f>
        <v>4.095453079651725</v>
      </c>
      <c r="H95" s="92">
        <f>+H44/'[5]basedata_surface'!I$6*1000</f>
        <v>0</v>
      </c>
      <c r="I95" s="92">
        <f>+I44/'[5]basedata_surface'!J$6*1000</f>
        <v>6.278713629402756</v>
      </c>
      <c r="J95" s="92">
        <f>+J44/'[5]basedata_surface'!K$6*1000</f>
        <v>0</v>
      </c>
      <c r="K95" s="92">
        <f>+K44/'[5]basedata_surface'!L$6*1000</f>
        <v>0.8443001742968164</v>
      </c>
      <c r="L95" s="92">
        <f>+L44/'[5]basedata_surface'!M$6*1000</f>
        <v>0.4740111833080947</v>
      </c>
      <c r="M95" s="92">
        <f>+M44/'[5]basedata_surface'!N$6*1000</f>
        <v>4.466106533975038</v>
      </c>
      <c r="N95" s="92">
        <f>+N44/'[5]basedata_surface'!O$6*1000</f>
        <v>16.291469194312796</v>
      </c>
      <c r="O95" s="92">
        <f>+O44/'[5]basedata_surface'!P$6*1000</f>
        <v>1.9720836586798138</v>
      </c>
      <c r="P95" s="92"/>
    </row>
    <row r="96" spans="1:16" ht="11.25">
      <c r="A96" s="5">
        <v>1998</v>
      </c>
      <c r="B96" s="92">
        <f>+B45/'[5]basedata_surface'!B$6*1000</f>
        <v>3.481117207090593</v>
      </c>
      <c r="C96" s="92">
        <f>+C45/'[5]basedata_surface'!D$6*1000</f>
        <v>2.8740292268050522</v>
      </c>
      <c r="D96" s="92">
        <f>+D45/'[5]basedata_surface'!E$6*1000</f>
        <v>22.05167008972003</v>
      </c>
      <c r="E96" s="92">
        <f>+E45/'[5]basedata_surface'!F$6*1000</f>
        <v>6.327187888316892</v>
      </c>
      <c r="F96" s="92">
        <f>+F45/'[5]basedata_surface'!G$6*1000</f>
        <v>1.6361907709996242</v>
      </c>
      <c r="G96" s="92">
        <f>+G45/'[5]basedata_surface'!H$6*1000</f>
        <v>4.815650865312265</v>
      </c>
      <c r="H96" s="92">
        <f>+H45/'[5]basedata_surface'!I$6*1000</f>
        <v>0</v>
      </c>
      <c r="I96" s="92">
        <f>+I45/'[5]basedata_surface'!J$6*1000</f>
        <v>6.385911179173047</v>
      </c>
      <c r="J96" s="92">
        <f>+J45/'[5]basedata_surface'!K$6*1000</f>
        <v>0</v>
      </c>
      <c r="K96" s="92">
        <f>+K45/'[5]basedata_surface'!L$6*1000</f>
        <v>0.8570926011801014</v>
      </c>
      <c r="L96" s="92">
        <f>+L45/'[5]basedata_surface'!M$6*1000</f>
        <v>0.4740111833080947</v>
      </c>
      <c r="M96" s="92">
        <f>+M45/'[5]basedata_surface'!N$6*1000</f>
        <v>5.954808711966718</v>
      </c>
      <c r="N96" s="92">
        <f>+N45/'[5]basedata_surface'!O$6*1000</f>
        <v>18.216824644549764</v>
      </c>
      <c r="O96" s="92">
        <f>+O45/'[5]basedata_surface'!P$6*1000</f>
        <v>2.2276285306815176</v>
      </c>
      <c r="P96" s="92"/>
    </row>
    <row r="97" spans="1:16" ht="11.25">
      <c r="A97" s="5">
        <v>1999</v>
      </c>
      <c r="B97" s="92">
        <f>+B46/'[5]basedata_surface'!B$6*1000</f>
        <v>3.625994508202492</v>
      </c>
      <c r="C97" s="92">
        <f>+C46/'[5]basedata_surface'!D$6*1000</f>
        <v>2.919076706849019</v>
      </c>
      <c r="D97" s="92">
        <f>+D46/'[5]basedata_surface'!E$6*1000</f>
        <v>23.348827153821208</v>
      </c>
      <c r="E97" s="92">
        <f>+E46/'[5]basedata_surface'!F$6*1000</f>
        <v>6.327187888316892</v>
      </c>
      <c r="F97" s="92">
        <f>+F46/'[5]basedata_surface'!G$6*1000</f>
        <v>1.9236296902292878</v>
      </c>
      <c r="G97" s="92">
        <f>+G46/'[5]basedata_surface'!H$6*1000</f>
        <v>4.815650865312265</v>
      </c>
      <c r="H97" s="92">
        <f>+H46/'[5]basedata_surface'!I$6*1000</f>
        <v>0</v>
      </c>
      <c r="I97" s="92">
        <f>+I46/'[5]basedata_surface'!J$6*1000</f>
        <v>6.385911179173047</v>
      </c>
      <c r="J97" s="92">
        <f>+J46/'[5]basedata_surface'!K$6*1000</f>
        <v>0</v>
      </c>
      <c r="K97" s="92">
        <f>+K46/'[5]basedata_surface'!L$6*1000</f>
        <v>1.0137998305003437</v>
      </c>
      <c r="L97" s="92">
        <f>+L46/'[5]basedata_surface'!M$6*1000</f>
        <v>0.4740111833080947</v>
      </c>
      <c r="M97" s="92">
        <f>+M46/'[5]basedata_surface'!N$6*1000</f>
        <v>6.015988253528021</v>
      </c>
      <c r="N97" s="92">
        <f>+N46/'[5]basedata_surface'!O$6*1000</f>
        <v>19.6978672985782</v>
      </c>
      <c r="O97" s="92">
        <f>+O46/'[5]basedata_surface'!P$6*1000</f>
        <v>2.257313036015049</v>
      </c>
      <c r="P97" s="92"/>
    </row>
    <row r="98" spans="1:15" ht="11.25">
      <c r="A98" s="5">
        <v>2000</v>
      </c>
      <c r="B98" s="92">
        <f>+B47/'[5]basedata_surface'!B$6*1000</f>
        <v>3.7613938550360433</v>
      </c>
      <c r="C98" s="92">
        <f>IF(ISNUMBER(C47/surface_area!C$5*1000),C47/surface_area!C$5*1000,NA())</f>
        <v>2.919076706849019</v>
      </c>
      <c r="D98" s="92">
        <f>IF(ISNUMBER(D47/surface_area!D$5*1000),D47/surface_area!D$5*1000,NA())</f>
        <v>25.943141282023564</v>
      </c>
      <c r="E98" s="92">
        <f>IF(ISNUMBER(E47/surface_area!E$5*1000),E47/surface_area!E$5*1000,NA())</f>
        <v>6.327187888316892</v>
      </c>
      <c r="F98" s="92">
        <f>IF(ISNUMBER(F47/surface_area!F$5*1000),F47/surface_area!F$5*1000,NA())</f>
        <v>2.056293806796825</v>
      </c>
      <c r="G98" s="92">
        <f>IF(ISNUMBER(G47/surface_area!G$5*1000),G47/surface_area!G$5*1000,NA())</f>
        <v>4.815650865312265</v>
      </c>
      <c r="H98" s="92">
        <f>IF(ISNUMBER(H47/surface_area!H$5*1000),H47/surface_area!H$5*1000,NA())</f>
        <v>0</v>
      </c>
      <c r="I98" s="92">
        <f>IF(ISNUMBER(I47/surface_area!I$5*1000),I47/surface_area!I$5*1000,NA())</f>
        <v>6.385911179173047</v>
      </c>
      <c r="J98" s="92">
        <f>IF(ISNUMBER(J47/surface_area!J$5*1000),J47/surface_area!J$5*1000,NA())</f>
        <v>0</v>
      </c>
      <c r="K98" s="92">
        <f>IF(ISNUMBER(K47/surface_area!K$5*1000),K47/surface_area!K$5*1000,NA())</f>
        <v>1.144922206054016</v>
      </c>
      <c r="L98" s="92">
        <f>IF(ISNUMBER(L47/surface_area!L$5*1000),L47/surface_area!L$5*1000,NA())</f>
        <v>0.4740111833080947</v>
      </c>
      <c r="M98" s="92">
        <f>IF(ISNUMBER(M47/surface_area!M$5*1000),M47/surface_area!M$5*1000,NA())</f>
        <v>6.036381434048454</v>
      </c>
      <c r="N98" s="92">
        <f>IF(ISNUMBER(N47/surface_area!N$5*1000),N47/surface_area!N$5*1000,NA())</f>
        <v>21.080173775671405</v>
      </c>
      <c r="O98" s="92">
        <f>IF(ISNUMBER(O47/surface_area!O$5*1000),O47/surface_area!O$5*1000,NA())</f>
        <v>2.288288172015255</v>
      </c>
    </row>
    <row r="100" spans="1:15" ht="11.25">
      <c r="A100" s="4" t="s">
        <v>251</v>
      </c>
      <c r="B100" s="5"/>
      <c r="C100" s="5"/>
      <c r="D100" s="5"/>
      <c r="E100" s="5"/>
      <c r="F100" s="5"/>
      <c r="G100" s="5"/>
      <c r="H100" s="5"/>
      <c r="I100" s="5"/>
      <c r="J100" s="5"/>
      <c r="K100" s="5"/>
      <c r="L100" s="5"/>
      <c r="M100" s="5"/>
      <c r="N100" s="5"/>
      <c r="O100" s="6"/>
    </row>
    <row r="101" ht="11.25">
      <c r="A101" s="23" t="s">
        <v>209</v>
      </c>
    </row>
    <row r="103" spans="1:16" ht="11.25">
      <c r="A103" s="5"/>
      <c r="B103" s="19" t="s">
        <v>175</v>
      </c>
      <c r="C103" s="20" t="s">
        <v>0</v>
      </c>
      <c r="D103" s="20" t="s">
        <v>29</v>
      </c>
      <c r="E103" s="20" t="s">
        <v>1</v>
      </c>
      <c r="F103" s="20" t="s">
        <v>2</v>
      </c>
      <c r="G103" s="20" t="s">
        <v>3</v>
      </c>
      <c r="H103" s="20" t="s">
        <v>4</v>
      </c>
      <c r="I103" s="20" t="s">
        <v>5</v>
      </c>
      <c r="J103" s="20" t="s">
        <v>30</v>
      </c>
      <c r="K103" s="20" t="s">
        <v>6</v>
      </c>
      <c r="L103" s="20" t="s">
        <v>7</v>
      </c>
      <c r="M103" s="20" t="s">
        <v>8</v>
      </c>
      <c r="N103" s="20" t="s">
        <v>9</v>
      </c>
      <c r="O103" s="21" t="s">
        <v>31</v>
      </c>
      <c r="P103" s="29"/>
    </row>
    <row r="104" spans="1:16" ht="11.25">
      <c r="A104" s="5">
        <v>1990</v>
      </c>
      <c r="B104" s="133">
        <f>+B37/'[5]manip_POP_AC'!P6</f>
        <v>0.02346518022802352</v>
      </c>
      <c r="C104" s="133">
        <f>+C37/'[5]manip_POP_AC'!C6</f>
        <v>0.03131452167928424</v>
      </c>
      <c r="D104" s="133">
        <f>+D37/'[5]manip_POP_AC'!D6</f>
        <v>0</v>
      </c>
      <c r="E104" s="133">
        <f>+E37/'[5]manip_POP_AC'!E6</f>
        <v>0.034449483740229665</v>
      </c>
      <c r="F104" s="133">
        <f>+F37/'[5]manip_POP_AC'!F6</f>
        <v>0.026098026734563972</v>
      </c>
      <c r="G104" s="133">
        <f>+G37/'[5]manip_POP_AC'!G6</f>
        <v>0.025759768451519536</v>
      </c>
      <c r="H104" s="133">
        <f>+H37/'[5]manip_POP_AC'!H6</f>
        <v>0</v>
      </c>
      <c r="I104" s="133">
        <f>+I37/'[5]manip_POP_AC'!I6</f>
        <v>0.11311123052122515</v>
      </c>
      <c r="J104" s="133">
        <f>+J37/'[5]manip_POP_AC'!J6</f>
        <v>0</v>
      </c>
      <c r="K104" s="133">
        <f>+K37/'[5]manip_POP_AC'!K6</f>
        <v>0.006742080023505462</v>
      </c>
      <c r="L104" s="133">
        <f>+L37/'[5]manip_POP_AC'!L6</f>
        <v>0.004869220493816521</v>
      </c>
      <c r="M104" s="133">
        <f>+M37/'[5]manip_POP_AC'!M6</f>
        <v>0.03634298693923907</v>
      </c>
      <c r="N104" s="133">
        <f>+N37/'[5]manip_POP_AC'!N6</f>
        <v>0.1141084029828337</v>
      </c>
      <c r="O104" s="133">
        <f>+O37/'[5]manip_POP_AC'!O6</f>
        <v>0.005006235524674862</v>
      </c>
      <c r="P104" s="133"/>
    </row>
    <row r="105" spans="1:16" ht="11.25">
      <c r="A105" s="5">
        <v>1991</v>
      </c>
      <c r="B105" s="133">
        <f>+B38/'[5]manip_POP_AC'!P7</f>
        <v>0.023134824572215162</v>
      </c>
      <c r="C105" s="133">
        <f>+C38/'[5]manip_POP_AC'!C7</f>
        <v>0.0319740500463392</v>
      </c>
      <c r="D105" s="133">
        <f>+D38/'[5]manip_POP_AC'!D7</f>
        <v>0</v>
      </c>
      <c r="E105" s="133">
        <f>+E38/'[5]manip_POP_AC'!E7</f>
        <v>0.035114948103598796</v>
      </c>
      <c r="F105" s="133">
        <f>+F38/'[5]manip_POP_AC'!F7</f>
        <v>0.031928480204342274</v>
      </c>
      <c r="G105" s="133">
        <f>+G38/'[5]manip_POP_AC'!G7</f>
        <v>0.02600038662284941</v>
      </c>
      <c r="H105" s="133">
        <f>+H38/'[5]manip_POP_AC'!H7</f>
        <v>0</v>
      </c>
      <c r="I105" s="133">
        <f>+I38/'[5]manip_POP_AC'!I7</f>
        <v>0.10048102618920364</v>
      </c>
      <c r="J105" s="133">
        <f>+J38/'[5]manip_POP_AC'!J7</f>
        <v>0</v>
      </c>
      <c r="K105" s="133">
        <f>+K38/'[5]manip_POP_AC'!K7</f>
        <v>0.00624928094047756</v>
      </c>
      <c r="L105" s="133">
        <f>+L38/'[5]manip_POP_AC'!L7</f>
        <v>0.004873840845374165</v>
      </c>
      <c r="M105" s="133">
        <f>+M38/'[5]manip_POP_AC'!M7</f>
        <v>0.03747870528109029</v>
      </c>
      <c r="N105" s="133">
        <f>+N38/'[5]manip_POP_AC'!N7</f>
        <v>0.12289553879202678</v>
      </c>
      <c r="O105" s="133">
        <f>+O38/'[5]manip_POP_AC'!O7</f>
        <v>0.006786616161616162</v>
      </c>
      <c r="P105" s="133"/>
    </row>
    <row r="106" spans="1:16" ht="11.25">
      <c r="A106" s="5">
        <v>1992</v>
      </c>
      <c r="B106" s="133">
        <f>+B39/'[5]manip_POP_AC'!P8</f>
        <v>0.0237178893840666</v>
      </c>
      <c r="C106" s="133">
        <f>+C39/'[5]manip_POP_AC'!C8</f>
        <v>0.03231850117096019</v>
      </c>
      <c r="D106" s="133">
        <f>+D39/'[5]manip_POP_AC'!D8</f>
        <v>0</v>
      </c>
      <c r="E106" s="133">
        <f>+E39/'[5]manip_POP_AC'!E8</f>
        <v>0.03547199069587129</v>
      </c>
      <c r="F106" s="133">
        <f>+F39/'[5]manip_POP_AC'!F8</f>
        <v>0.038849284201938575</v>
      </c>
      <c r="G106" s="133">
        <f>+G39/'[5]manip_POP_AC'!G8</f>
        <v>0.026055792328554823</v>
      </c>
      <c r="H106" s="133">
        <f>+H39/'[5]manip_POP_AC'!H8</f>
        <v>0</v>
      </c>
      <c r="I106" s="133">
        <f>+I39/'[5]manip_POP_AC'!I8</f>
        <v>0.10208444681988242</v>
      </c>
      <c r="J106" s="133">
        <f>+J39/'[5]manip_POP_AC'!J8</f>
        <v>0</v>
      </c>
      <c r="K106" s="133">
        <f>+K39/'[5]manip_POP_AC'!K8</f>
        <v>0.0066988664058366156</v>
      </c>
      <c r="L106" s="133">
        <f>+L39/'[5]manip_POP_AC'!L8</f>
        <v>0.004958532625389442</v>
      </c>
      <c r="M106" s="133">
        <f>+M39/'[5]manip_POP_AC'!M8</f>
        <v>0.037312729671158014</v>
      </c>
      <c r="N106" s="133">
        <f>+N39/'[5]manip_POP_AC'!N8</f>
        <v>0.12721626765501354</v>
      </c>
      <c r="O106" s="133">
        <f>+O39/'[5]manip_POP_AC'!O8</f>
        <v>0.013070879737546405</v>
      </c>
      <c r="P106" s="133"/>
    </row>
    <row r="107" spans="1:16" ht="11.25">
      <c r="A107" s="5">
        <v>1993</v>
      </c>
      <c r="B107" s="133">
        <f>+B40/'[5]manip_POP_AC'!P9</f>
        <v>0.02611008361867165</v>
      </c>
      <c r="C107" s="133">
        <f>+C40/'[5]manip_POP_AC'!C9</f>
        <v>0.03269593956562795</v>
      </c>
      <c r="D107" s="133">
        <f>+D40/'[5]manip_POP_AC'!D9</f>
        <v>0.21448467966573817</v>
      </c>
      <c r="E107" s="133">
        <f>+E40/'[5]manip_POP_AC'!E9</f>
        <v>0.037750459781240926</v>
      </c>
      <c r="F107" s="133">
        <f>+F40/'[5]manip_POP_AC'!F9</f>
        <v>0.04087013843111404</v>
      </c>
      <c r="G107" s="133">
        <f>+G40/'[5]manip_POP_AC'!G9</f>
        <v>0.026131727219739654</v>
      </c>
      <c r="H107" s="133">
        <f>+H40/'[5]manip_POP_AC'!H9</f>
        <v>0</v>
      </c>
      <c r="I107" s="133">
        <f>+I40/'[5]manip_POP_AC'!I9</f>
        <v>0.10563002680965147</v>
      </c>
      <c r="J107" s="133">
        <f>+J40/'[5]manip_POP_AC'!J9</f>
        <v>0</v>
      </c>
      <c r="K107" s="133">
        <f>+K40/'[5]manip_POP_AC'!K9</f>
        <v>0.006006396422163863</v>
      </c>
      <c r="L107" s="133">
        <f>+L40/'[5]manip_POP_AC'!L9</f>
        <v>0.004965941551307405</v>
      </c>
      <c r="M107" s="133">
        <f>+M40/'[5]manip_POP_AC'!M9</f>
        <v>0.037185891897982944</v>
      </c>
      <c r="N107" s="133">
        <f>+N40/'[5]manip_POP_AC'!N9</f>
        <v>0.13626194834248526</v>
      </c>
      <c r="O107" s="133">
        <f>+O40/'[5]manip_POP_AC'!O9</f>
        <v>0.01819480342810502</v>
      </c>
      <c r="P107" s="133"/>
    </row>
    <row r="108" spans="1:16" ht="11.25">
      <c r="A108" s="5">
        <v>1994</v>
      </c>
      <c r="B108" s="133">
        <f>+B41/'[5]manip_POP_AC'!P10</f>
        <v>0.02683663022176188</v>
      </c>
      <c r="C108" s="133">
        <f>+C41/'[5]manip_POP_AC'!C10</f>
        <v>0.03283935981031417</v>
      </c>
      <c r="D108" s="133">
        <f>+D41/'[5]manip_POP_AC'!D10</f>
        <v>0.2190082644628099</v>
      </c>
      <c r="E108" s="133">
        <f>+E41/'[5]manip_POP_AC'!E10</f>
        <v>0.037925696594427245</v>
      </c>
      <c r="F108" s="133">
        <f>+F41/'[5]manip_POP_AC'!F10</f>
        <v>0.04269513008672448</v>
      </c>
      <c r="G108" s="133">
        <f>+G41/'[5]manip_POP_AC'!G10</f>
        <v>0.0285547217620115</v>
      </c>
      <c r="H108" s="133">
        <f>+H41/'[5]manip_POP_AC'!H10</f>
        <v>0</v>
      </c>
      <c r="I108" s="133">
        <f>+I41/'[5]manip_POP_AC'!I10</f>
        <v>0.10588551464660037</v>
      </c>
      <c r="J108" s="133">
        <f>+J41/'[5]manip_POP_AC'!J10</f>
        <v>0</v>
      </c>
      <c r="K108" s="133">
        <f>+K41/'[5]manip_POP_AC'!K10</f>
        <v>0.006356437904087839</v>
      </c>
      <c r="L108" s="133">
        <f>+L41/'[5]manip_POP_AC'!L10</f>
        <v>0.004971184725704984</v>
      </c>
      <c r="M108" s="133">
        <f>+M41/'[5]manip_POP_AC'!M10</f>
        <v>0.03702803283900286</v>
      </c>
      <c r="N108" s="133">
        <f>+N41/'[5]manip_POP_AC'!N10</f>
        <v>0.13927296495550304</v>
      </c>
      <c r="O108" s="133">
        <f>+O41/'[5]manip_POP_AC'!O10</f>
        <v>0.01954479224237552</v>
      </c>
      <c r="P108" s="133"/>
    </row>
    <row r="109" spans="1:16" ht="11.25">
      <c r="A109" s="5">
        <v>1995</v>
      </c>
      <c r="B109" s="133">
        <f>+B42/'[5]manip_POP_AC'!P11</f>
        <v>0.028047639962038434</v>
      </c>
      <c r="C109" s="133">
        <f>+C42/'[5]manip_POP_AC'!C11</f>
        <v>0.03738095238095238</v>
      </c>
      <c r="D109" s="133">
        <f>+D42/'[5]manip_POP_AC'!D11</f>
        <v>0.22882513661202186</v>
      </c>
      <c r="E109" s="133">
        <f>+E42/'[5]manip_POP_AC'!E11</f>
        <v>0.04007356499854806</v>
      </c>
      <c r="F109" s="133">
        <f>+F42/'[5]manip_POP_AC'!F11</f>
        <v>0.04406779661016949</v>
      </c>
      <c r="G109" s="133">
        <f>+G42/'[5]manip_POP_AC'!G11</f>
        <v>0.03274682306940371</v>
      </c>
      <c r="H109" s="133">
        <f>+H42/'[5]manip_POP_AC'!H11</f>
        <v>0</v>
      </c>
      <c r="I109" s="133">
        <f>+I42/'[5]manip_POP_AC'!I11</f>
        <v>0.10605652759084791</v>
      </c>
      <c r="J109" s="133">
        <f>+J42/'[5]manip_POP_AC'!J11</f>
        <v>0</v>
      </c>
      <c r="K109" s="133">
        <f>+K42/'[5]manip_POP_AC'!K11</f>
        <v>0.006375104955996227</v>
      </c>
      <c r="L109" s="133">
        <f>+L42/'[5]manip_POP_AC'!L11</f>
        <v>0.004982143644460121</v>
      </c>
      <c r="M109" s="133">
        <f>+M42/'[5]manip_POP_AC'!M11</f>
        <v>0.036914953912239354</v>
      </c>
      <c r="N109" s="133">
        <f>+N42/'[5]manip_POP_AC'!N11</f>
        <v>0.14723618090452262</v>
      </c>
      <c r="O109" s="133">
        <f>+O42/'[5]manip_POP_AC'!O11</f>
        <v>0.02055732457804689</v>
      </c>
      <c r="P109" s="133"/>
    </row>
    <row r="110" spans="1:16" ht="11.25">
      <c r="A110" s="5">
        <v>1996</v>
      </c>
      <c r="B110" s="133">
        <f>+B43/'[5]manip_POP_AC'!P12</f>
        <v>0.02969747639216721</v>
      </c>
      <c r="C110" s="133">
        <f>+C43/'[5]manip_POP_AC'!C12</f>
        <v>0.037577788415509815</v>
      </c>
      <c r="D110" s="133">
        <f>+D43/'[5]manip_POP_AC'!D12</f>
        <v>0.26287262872628725</v>
      </c>
      <c r="E110" s="133">
        <f>+E43/'[5]manip_POP_AC'!E12</f>
        <v>0.04100824042656326</v>
      </c>
      <c r="F110" s="133">
        <f>+F43/'[5]manip_POP_AC'!F12</f>
        <v>0.04551316088902374</v>
      </c>
      <c r="G110" s="133">
        <f>+G43/'[5]manip_POP_AC'!G12</f>
        <v>0.03580888845285981</v>
      </c>
      <c r="H110" s="133">
        <f>+H43/'[5]manip_POP_AC'!H12</f>
        <v>0</v>
      </c>
      <c r="I110" s="133">
        <f>+I43/'[5]manip_POP_AC'!I12</f>
        <v>0.10892423833917499</v>
      </c>
      <c r="J110" s="133">
        <f>+J43/'[5]manip_POP_AC'!J12</f>
        <v>0</v>
      </c>
      <c r="K110" s="133">
        <f>+K43/'[5]manip_POP_AC'!K12</f>
        <v>0.006680822414418147</v>
      </c>
      <c r="L110" s="133">
        <f>+L43/'[5]manip_POP_AC'!L12</f>
        <v>0.004998230714791225</v>
      </c>
      <c r="M110" s="133">
        <f>+M43/'[5]manip_POP_AC'!M12</f>
        <v>0.04000900667871279</v>
      </c>
      <c r="N110" s="133">
        <f>+N43/'[5]manip_POP_AC'!N12</f>
        <v>0.155700652938222</v>
      </c>
      <c r="O110" s="133">
        <f>+O43/'[5]manip_POP_AC'!O12</f>
        <v>0.022835131972435314</v>
      </c>
      <c r="P110" s="133"/>
    </row>
    <row r="111" spans="1:16" ht="11.25">
      <c r="A111" s="5">
        <v>1997</v>
      </c>
      <c r="B111" s="133">
        <f>+B44/'[5]manip_POP_AC'!P13</f>
        <v>0.03132689616144468</v>
      </c>
      <c r="C111" s="133">
        <f>+C44/'[5]manip_POP_AC'!C13</f>
        <v>0.03777639023732957</v>
      </c>
      <c r="D111" s="133">
        <f>+D44/'[5]manip_POP_AC'!D13</f>
        <v>0.2674731182795699</v>
      </c>
      <c r="E111" s="133">
        <f>+E44/'[5]manip_POP_AC'!E13</f>
        <v>0.04706864257916751</v>
      </c>
      <c r="F111" s="133">
        <f>+F44/'[5]manip_POP_AC'!F13</f>
        <v>0.04764707531040668</v>
      </c>
      <c r="G111" s="133">
        <f>+G44/'[5]manip_POP_AC'!G13</f>
        <v>0.03751883327260731</v>
      </c>
      <c r="H111" s="133">
        <f>+H44/'[5]manip_POP_AC'!H13</f>
        <v>0</v>
      </c>
      <c r="I111" s="133">
        <f>+I44/'[5]manip_POP_AC'!I13</f>
        <v>0.1106436491894678</v>
      </c>
      <c r="J111" s="133">
        <f>+J44/'[5]manip_POP_AC'!J13</f>
        <v>0</v>
      </c>
      <c r="K111" s="133">
        <f>+K44/'[5]manip_POP_AC'!K13</f>
        <v>0.006830530401034929</v>
      </c>
      <c r="L111" s="133">
        <f>+L44/'[5]manip_POP_AC'!L13</f>
        <v>0.005010197747627915</v>
      </c>
      <c r="M111" s="133">
        <f>+M44/'[5]manip_POP_AC'!M13</f>
        <v>0.040681895441955856</v>
      </c>
      <c r="N111" s="133">
        <f>+N44/'[5]manip_POP_AC'!N13</f>
        <v>0.16616648875103224</v>
      </c>
      <c r="O111" s="133">
        <f>+O44/'[5]manip_POP_AC'!O13</f>
        <v>0.024465615242974942</v>
      </c>
      <c r="P111" s="133"/>
    </row>
    <row r="112" spans="1:16" ht="11.25">
      <c r="A112" s="5">
        <v>1998</v>
      </c>
      <c r="B112" s="133">
        <f>+B45/'[5]manip_POP_AC'!P14</f>
        <v>0.03421597415673194</v>
      </c>
      <c r="C112" s="133">
        <f>+C45/'[5]manip_POP_AC'!C14</f>
        <v>0.03863388639941868</v>
      </c>
      <c r="D112" s="133">
        <f>+D45/'[5]manip_POP_AC'!D14</f>
        <v>0.27236315086782376</v>
      </c>
      <c r="E112" s="133">
        <f>+E45/'[5]manip_POP_AC'!E14</f>
        <v>0.048470601948537625</v>
      </c>
      <c r="F112" s="133">
        <f>+F45/'[5]manip_POP_AC'!F14</f>
        <v>0.05263045596466647</v>
      </c>
      <c r="G112" s="133">
        <f>+G45/'[5]manip_POP_AC'!G14</f>
        <v>0.04429503658295432</v>
      </c>
      <c r="H112" s="133">
        <f>+H45/'[5]manip_POP_AC'!H14</f>
        <v>0</v>
      </c>
      <c r="I112" s="133">
        <f>+I45/'[5]manip_POP_AC'!I14</f>
        <v>0.1126113961652714</v>
      </c>
      <c r="J112" s="133">
        <f>+J45/'[5]manip_POP_AC'!J14</f>
        <v>0</v>
      </c>
      <c r="K112" s="133">
        <f>+K45/'[5]manip_POP_AC'!K14</f>
        <v>0.006931126738445553</v>
      </c>
      <c r="L112" s="133">
        <f>+L45/'[5]manip_POP_AC'!L14</f>
        <v>0.005021552681864641</v>
      </c>
      <c r="M112" s="133">
        <f>+M45/'[5]manip_POP_AC'!M14</f>
        <v>0.05416776424408143</v>
      </c>
      <c r="N112" s="133">
        <f>+N45/'[5]manip_POP_AC'!N14</f>
        <v>0.18611923736507618</v>
      </c>
      <c r="O112" s="133">
        <f>+O45/'[5]manip_POP_AC'!O14</f>
        <v>0.027227839914183403</v>
      </c>
      <c r="P112" s="133"/>
    </row>
    <row r="113" spans="1:16" ht="11.25">
      <c r="A113" s="5">
        <v>1999</v>
      </c>
      <c r="B113" s="133">
        <f>+B46/'[5]manip_POP_AC'!P15</f>
        <v>0.035697875469867614</v>
      </c>
      <c r="C113" s="133">
        <f>+C46/'[5]manip_POP_AC'!C15</f>
        <v>0.039473684210526314</v>
      </c>
      <c r="D113" s="133">
        <f>+D46/'[5]manip_POP_AC'!D15</f>
        <v>0.2864721485411141</v>
      </c>
      <c r="E113" s="133">
        <f>+E46/'[5]manip_POP_AC'!E15</f>
        <v>0.04854945136201156</v>
      </c>
      <c r="F113" s="133">
        <f>+F46/'[5]manip_POP_AC'!F15</f>
        <v>0.06274023379751491</v>
      </c>
      <c r="G113" s="133">
        <f>+G46/'[5]manip_POP_AC'!G15</f>
        <v>0.044497417560588004</v>
      </c>
      <c r="H113" s="133">
        <f>+H46/'[5]manip_POP_AC'!H15</f>
        <v>0</v>
      </c>
      <c r="I113" s="133">
        <f>+I46/'[5]manip_POP_AC'!I15</f>
        <v>0.11273317112733171</v>
      </c>
      <c r="J113" s="133">
        <f>+J46/'[5]manip_POP_AC'!J15</f>
        <v>0</v>
      </c>
      <c r="K113" s="133">
        <f>+K46/'[5]manip_POP_AC'!K15</f>
        <v>0.008200962384229316</v>
      </c>
      <c r="L113" s="133">
        <f>+L46/'[5]manip_POP_AC'!L15</f>
        <v>0.005031616809874792</v>
      </c>
      <c r="M113" s="133">
        <f>+M46/'[5]manip_POP_AC'!M15</f>
        <v>0.05467904328355996</v>
      </c>
      <c r="N113" s="133">
        <f>+N46/'[5]manip_POP_AC'!N15</f>
        <v>0.20095693779904306</v>
      </c>
      <c r="O113" s="133">
        <f>+O46/'[5]manip_POP_AC'!O15</f>
        <v>0.027184979094455757</v>
      </c>
      <c r="P113" s="133"/>
    </row>
    <row r="114" spans="1:15" ht="11.25">
      <c r="A114" s="5">
        <v>2000</v>
      </c>
      <c r="B114" s="133">
        <f>+B47/'[5]manip_POP_AC'!P16</f>
        <v>0.03708049684662277</v>
      </c>
      <c r="C114" s="133">
        <f>+C47/'[5]manip_POP_AC'!C16</f>
        <v>0.03967204443268976</v>
      </c>
      <c r="D114" s="133">
        <f>+D47/'[5]manip_POP_AC'!D16</f>
        <v>0.31704095112285335</v>
      </c>
      <c r="E114" s="133">
        <f>+E47/'[5]manip_POP_AC'!E16</f>
        <v>0.04857251321386507</v>
      </c>
      <c r="F114" s="133">
        <f>+F47/'[5]manip_POP_AC'!F16</f>
        <v>0.0679327976625274</v>
      </c>
      <c r="G114" s="133">
        <f>+G47/'[5]manip_POP_AC'!G16</f>
        <v>0.044701656356016764</v>
      </c>
      <c r="H114" s="133">
        <f>+H47/'[5]manip_POP_AC'!H16</f>
        <v>0</v>
      </c>
      <c r="I114" s="133">
        <f>+I47/'[5]manip_POP_AC'!I16</f>
        <v>0.1128552097428958</v>
      </c>
      <c r="J114" s="133">
        <f>+J47/'[5]manip_POP_AC'!J16</f>
        <v>0</v>
      </c>
      <c r="K114" s="133">
        <f>+K47/'[5]manip_POP_AC'!K16</f>
        <v>0.00926261319534282</v>
      </c>
      <c r="L114" s="133">
        <f>+L47/'[5]manip_POP_AC'!L16</f>
        <v>0.005036772899487408</v>
      </c>
      <c r="M114" s="133">
        <f>+M47/'[5]manip_POP_AC'!M16</f>
        <v>0.054796650739847345</v>
      </c>
      <c r="N114" s="133">
        <f>+N47/'[5]manip_POP_AC'!N16</f>
        <v>0.2147887323943662</v>
      </c>
      <c r="O114" s="133">
        <f>+O47/'[5]manip_POP_AC'!O16</f>
        <v>0.02715451886113366</v>
      </c>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Sheet10"/>
  <dimension ref="A1:AJ35"/>
  <sheetViews>
    <sheetView workbookViewId="0" topLeftCell="B4">
      <selection activeCell="B22" sqref="B22:B32"/>
    </sheetView>
  </sheetViews>
  <sheetFormatPr defaultColWidth="9.00390625" defaultRowHeight="12.75"/>
  <cols>
    <col min="1" max="15" width="8.75390625" style="1" customWidth="1"/>
    <col min="16" max="16384" width="9.25390625" style="1" customWidth="1"/>
  </cols>
  <sheetData>
    <row r="1" spans="1:15" ht="11.25">
      <c r="A1" s="4" t="s">
        <v>210</v>
      </c>
      <c r="B1" s="5"/>
      <c r="C1" s="5"/>
      <c r="D1" s="5"/>
      <c r="E1" s="5"/>
      <c r="F1" s="5"/>
      <c r="G1" s="5"/>
      <c r="H1" s="5"/>
      <c r="I1" s="5"/>
      <c r="J1" s="5"/>
      <c r="K1" s="5"/>
      <c r="L1" s="5"/>
      <c r="M1" s="5"/>
      <c r="N1" s="5"/>
      <c r="O1" s="6"/>
    </row>
    <row r="2" spans="1:15" ht="11.25">
      <c r="A2" s="18" t="s">
        <v>27</v>
      </c>
      <c r="B2" s="5"/>
      <c r="C2" s="5"/>
      <c r="D2" s="5"/>
      <c r="E2" s="5"/>
      <c r="F2" s="5"/>
      <c r="G2" s="5"/>
      <c r="H2" s="5"/>
      <c r="I2" s="5"/>
      <c r="J2" s="5"/>
      <c r="K2" s="5"/>
      <c r="L2" s="5"/>
      <c r="M2" s="5"/>
      <c r="N2" s="5"/>
      <c r="O2" s="6"/>
    </row>
    <row r="3" spans="1:15" ht="11.25">
      <c r="A3" s="5"/>
      <c r="B3" s="5"/>
      <c r="C3" s="5"/>
      <c r="D3" s="5"/>
      <c r="E3" s="5"/>
      <c r="F3" s="5"/>
      <c r="G3" s="5"/>
      <c r="H3" s="5"/>
      <c r="I3" s="5"/>
      <c r="J3" s="5"/>
      <c r="K3" s="5"/>
      <c r="L3" s="5"/>
      <c r="M3" s="5"/>
      <c r="N3" s="5"/>
      <c r="O3" s="6"/>
    </row>
    <row r="4" spans="1:35" ht="11.25">
      <c r="A4" s="5"/>
      <c r="B4" s="19" t="s">
        <v>28</v>
      </c>
      <c r="C4" s="20" t="s">
        <v>0</v>
      </c>
      <c r="D4" s="20" t="s">
        <v>29</v>
      </c>
      <c r="E4" s="20" t="s">
        <v>1</v>
      </c>
      <c r="F4" s="20" t="s">
        <v>2</v>
      </c>
      <c r="G4" s="20" t="s">
        <v>3</v>
      </c>
      <c r="H4" s="20" t="s">
        <v>4</v>
      </c>
      <c r="I4" s="20" t="s">
        <v>5</v>
      </c>
      <c r="J4" s="20" t="s">
        <v>30</v>
      </c>
      <c r="K4" s="20" t="s">
        <v>6</v>
      </c>
      <c r="L4" s="20" t="s">
        <v>7</v>
      </c>
      <c r="M4" s="20" t="s">
        <v>8</v>
      </c>
      <c r="N4" s="20" t="s">
        <v>9</v>
      </c>
      <c r="O4" s="21" t="s">
        <v>31</v>
      </c>
      <c r="Q4" s="1" t="s">
        <v>49</v>
      </c>
      <c r="R4" s="1" t="s">
        <v>50</v>
      </c>
      <c r="S4" s="1" t="s">
        <v>51</v>
      </c>
      <c r="T4" s="1" t="s">
        <v>52</v>
      </c>
      <c r="U4" s="1" t="s">
        <v>53</v>
      </c>
      <c r="V4" s="1" t="s">
        <v>54</v>
      </c>
      <c r="W4" s="1" t="s">
        <v>55</v>
      </c>
      <c r="X4" s="1" t="s">
        <v>56</v>
      </c>
      <c r="Y4" s="1" t="s">
        <v>57</v>
      </c>
      <c r="Z4" s="1" t="s">
        <v>58</v>
      </c>
      <c r="AA4" s="1" t="s">
        <v>59</v>
      </c>
      <c r="AB4" s="1" t="s">
        <v>60</v>
      </c>
      <c r="AC4" s="1" t="s">
        <v>61</v>
      </c>
      <c r="AD4" s="1" t="s">
        <v>62</v>
      </c>
      <c r="AE4" s="1" t="s">
        <v>63</v>
      </c>
      <c r="AI4" s="1" t="s">
        <v>64</v>
      </c>
    </row>
    <row r="5" spans="1:36" ht="11.25">
      <c r="A5" s="5">
        <v>1990</v>
      </c>
      <c r="B5" s="90" t="e">
        <f>SUM(C5:O5)</f>
        <v>#N/A</v>
      </c>
      <c r="C5" s="90">
        <v>36922</v>
      </c>
      <c r="D5" s="90">
        <v>9043</v>
      </c>
      <c r="E5" s="90" t="e">
        <f>NA()</f>
        <v>#N/A</v>
      </c>
      <c r="F5" s="90" t="e">
        <f>NA()</f>
        <v>#N/A</v>
      </c>
      <c r="G5" s="90">
        <v>29741</v>
      </c>
      <c r="H5" s="90">
        <v>59541</v>
      </c>
      <c r="I5" s="90">
        <v>48734</v>
      </c>
      <c r="J5" s="90">
        <v>1593</v>
      </c>
      <c r="K5" s="90">
        <v>363116</v>
      </c>
      <c r="L5" s="90">
        <v>72816</v>
      </c>
      <c r="M5" s="90">
        <v>17937</v>
      </c>
      <c r="N5" s="90">
        <v>39552</v>
      </c>
      <c r="O5" s="90" t="e">
        <f>NA()</f>
        <v>#N/A</v>
      </c>
      <c r="Q5" s="1">
        <v>106361</v>
      </c>
      <c r="R5" s="1">
        <v>145850</v>
      </c>
      <c r="S5" s="1">
        <v>71462</v>
      </c>
      <c r="T5" s="1">
        <v>77894</v>
      </c>
      <c r="U5" s="1">
        <v>980367</v>
      </c>
      <c r="V5" s="1">
        <v>649088</v>
      </c>
      <c r="W5" s="1">
        <v>38606</v>
      </c>
      <c r="X5" s="1">
        <v>95835</v>
      </c>
      <c r="Y5" s="1">
        <v>834747</v>
      </c>
      <c r="Z5" s="1">
        <v>5179</v>
      </c>
      <c r="AA5" s="1">
        <v>116093</v>
      </c>
      <c r="AB5" s="1">
        <v>68770</v>
      </c>
      <c r="AC5" s="1">
        <v>163273</v>
      </c>
      <c r="AD5" s="1">
        <v>138032</v>
      </c>
      <c r="AE5" s="1">
        <v>396081</v>
      </c>
      <c r="AI5" s="1" t="s">
        <v>65</v>
      </c>
      <c r="AJ5" s="1" t="s">
        <v>66</v>
      </c>
    </row>
    <row r="6" spans="1:15" ht="11.25">
      <c r="A6" s="5">
        <v>1991</v>
      </c>
      <c r="B6" s="90" t="e">
        <f aca="true" t="shared" si="0" ref="B6:B13">SUM(C6:O6)</f>
        <v>#N/A</v>
      </c>
      <c r="C6" s="90">
        <v>36930</v>
      </c>
      <c r="D6" s="90">
        <v>9226</v>
      </c>
      <c r="E6" s="90" t="e">
        <f>NA()</f>
        <v>#N/A</v>
      </c>
      <c r="F6" s="90" t="e">
        <f>NA()</f>
        <v>#N/A</v>
      </c>
      <c r="G6" s="90">
        <v>29894</v>
      </c>
      <c r="H6" s="90">
        <v>59525</v>
      </c>
      <c r="I6" s="90">
        <v>49133</v>
      </c>
      <c r="J6" s="90" t="e">
        <f>NA()</f>
        <v>#N/A</v>
      </c>
      <c r="K6" s="90">
        <v>365347</v>
      </c>
      <c r="L6" s="90">
        <v>72816</v>
      </c>
      <c r="M6" s="90">
        <v>17920</v>
      </c>
      <c r="N6" s="90">
        <v>39744</v>
      </c>
      <c r="O6" s="90" t="e">
        <f>NA()</f>
        <v>#N/A</v>
      </c>
    </row>
    <row r="7" spans="1:15" ht="11.25">
      <c r="A7" s="5">
        <v>1992</v>
      </c>
      <c r="B7" s="90" t="e">
        <f t="shared" si="0"/>
        <v>#N/A</v>
      </c>
      <c r="C7" s="90">
        <v>36932</v>
      </c>
      <c r="D7" s="90">
        <v>9362</v>
      </c>
      <c r="E7" s="90" t="e">
        <f>NA()</f>
        <v>#N/A</v>
      </c>
      <c r="F7" s="90" t="e">
        <f>NA()</f>
        <v>#N/A</v>
      </c>
      <c r="G7" s="90">
        <v>29950</v>
      </c>
      <c r="H7" s="90">
        <v>60192</v>
      </c>
      <c r="I7" s="90" t="e">
        <f>NA()</f>
        <v>#N/A</v>
      </c>
      <c r="J7" s="90">
        <v>1558</v>
      </c>
      <c r="K7" s="90">
        <v>367000</v>
      </c>
      <c r="L7" s="90">
        <v>72816</v>
      </c>
      <c r="M7" s="90">
        <v>17880</v>
      </c>
      <c r="N7" s="90">
        <v>39794</v>
      </c>
      <c r="O7" s="90" t="e">
        <f>NA()</f>
        <v>#N/A</v>
      </c>
    </row>
    <row r="8" spans="1:15" ht="11.25">
      <c r="A8" s="5">
        <v>1993</v>
      </c>
      <c r="B8" s="90" t="e">
        <f t="shared" si="0"/>
        <v>#N/A</v>
      </c>
      <c r="C8" s="90">
        <v>36935</v>
      </c>
      <c r="D8" s="90">
        <v>9539</v>
      </c>
      <c r="E8" s="90">
        <v>124695</v>
      </c>
      <c r="F8" s="90">
        <v>43842</v>
      </c>
      <c r="G8" s="90">
        <v>29963</v>
      </c>
      <c r="H8" s="90">
        <v>64693</v>
      </c>
      <c r="I8" s="90">
        <v>56693</v>
      </c>
      <c r="J8" s="90" t="e">
        <f>NA()</f>
        <v>#N/A</v>
      </c>
      <c r="K8" s="90">
        <v>350127</v>
      </c>
      <c r="L8" s="90">
        <v>72816</v>
      </c>
      <c r="M8" s="90">
        <v>17865</v>
      </c>
      <c r="N8" s="90">
        <v>39803</v>
      </c>
      <c r="O8" s="90" t="e">
        <f>NA()</f>
        <v>#N/A</v>
      </c>
    </row>
    <row r="9" spans="1:15" ht="11.25">
      <c r="A9" s="5">
        <v>1994</v>
      </c>
      <c r="B9" s="90" t="e">
        <f t="shared" si="0"/>
        <v>#N/A</v>
      </c>
      <c r="C9" s="90">
        <v>36911</v>
      </c>
      <c r="D9" s="90">
        <v>9801</v>
      </c>
      <c r="E9" s="90">
        <v>125192</v>
      </c>
      <c r="F9" s="90">
        <v>43826</v>
      </c>
      <c r="G9" s="90">
        <v>30031</v>
      </c>
      <c r="H9" s="90">
        <v>54992</v>
      </c>
      <c r="I9" s="90">
        <v>60574</v>
      </c>
      <c r="J9" s="90" t="e">
        <f>NA()</f>
        <v>#N/A</v>
      </c>
      <c r="K9" s="90">
        <v>352555</v>
      </c>
      <c r="L9" s="90">
        <v>72828</v>
      </c>
      <c r="M9" s="90">
        <v>17889</v>
      </c>
      <c r="N9" s="90">
        <v>39810</v>
      </c>
      <c r="O9" s="90">
        <v>381028</v>
      </c>
    </row>
    <row r="10" spans="1:15" ht="11.25">
      <c r="A10" s="5">
        <v>1995</v>
      </c>
      <c r="B10" s="90" t="e">
        <f t="shared" si="0"/>
        <v>#N/A</v>
      </c>
      <c r="C10" s="90">
        <v>36757</v>
      </c>
      <c r="D10" s="90">
        <v>10317.5</v>
      </c>
      <c r="E10" s="90">
        <v>121949</v>
      </c>
      <c r="F10" s="90">
        <v>43820</v>
      </c>
      <c r="G10" s="90">
        <v>30073</v>
      </c>
      <c r="H10" s="90">
        <v>56196</v>
      </c>
      <c r="I10" s="90">
        <v>62513</v>
      </c>
      <c r="J10" s="90" t="e">
        <f>NA()</f>
        <v>#N/A</v>
      </c>
      <c r="K10" s="90">
        <v>372479</v>
      </c>
      <c r="L10" s="90">
        <v>72859</v>
      </c>
      <c r="M10" s="90">
        <v>17868</v>
      </c>
      <c r="N10" s="90">
        <v>39836</v>
      </c>
      <c r="O10" s="90">
        <v>381300</v>
      </c>
    </row>
    <row r="11" spans="1:15" ht="11.25">
      <c r="A11" s="5">
        <v>1996</v>
      </c>
      <c r="B11" s="90" t="e">
        <f t="shared" si="0"/>
        <v>#N/A</v>
      </c>
      <c r="C11" s="90">
        <v>36720</v>
      </c>
      <c r="D11" s="90">
        <v>10582.5</v>
      </c>
      <c r="E11" s="90">
        <v>126031</v>
      </c>
      <c r="F11" s="90">
        <v>44168</v>
      </c>
      <c r="G11" s="90">
        <v>30049</v>
      </c>
      <c r="H11" s="90">
        <v>56729</v>
      </c>
      <c r="I11" s="90">
        <v>66212</v>
      </c>
      <c r="J11" s="90" t="e">
        <f>NA()</f>
        <v>#N/A</v>
      </c>
      <c r="K11" s="90">
        <v>374990</v>
      </c>
      <c r="L11" s="90">
        <v>73160</v>
      </c>
      <c r="M11" s="90">
        <v>17867</v>
      </c>
      <c r="N11" s="90">
        <v>39856</v>
      </c>
      <c r="O11" s="90">
        <v>381631</v>
      </c>
    </row>
    <row r="12" spans="1:15" ht="11.25">
      <c r="A12" s="5">
        <v>1997</v>
      </c>
      <c r="B12" s="90">
        <f t="shared" si="0"/>
        <v>1267271.4</v>
      </c>
      <c r="C12" s="90">
        <v>36724</v>
      </c>
      <c r="D12" s="90">
        <v>10847.5</v>
      </c>
      <c r="E12" s="90">
        <v>127694</v>
      </c>
      <c r="F12" s="90">
        <v>43889</v>
      </c>
      <c r="G12" s="90">
        <v>29750</v>
      </c>
      <c r="H12" s="90">
        <v>56990</v>
      </c>
      <c r="I12" s="90">
        <v>69243</v>
      </c>
      <c r="J12" s="90">
        <v>1971</v>
      </c>
      <c r="K12" s="90">
        <v>377048</v>
      </c>
      <c r="L12" s="90">
        <v>73161</v>
      </c>
      <c r="M12" s="90">
        <v>17626.9</v>
      </c>
      <c r="N12" s="90">
        <v>39930</v>
      </c>
      <c r="O12" s="90">
        <v>382397</v>
      </c>
    </row>
    <row r="13" spans="1:15" ht="11.25">
      <c r="A13" s="5">
        <v>1998</v>
      </c>
      <c r="B13" s="90">
        <f t="shared" si="0"/>
        <v>1275890</v>
      </c>
      <c r="C13" s="90">
        <v>36759</v>
      </c>
      <c r="D13" s="90">
        <v>11024</v>
      </c>
      <c r="E13" s="90">
        <v>127694</v>
      </c>
      <c r="F13" s="90">
        <v>49480</v>
      </c>
      <c r="G13" s="90">
        <v>30245</v>
      </c>
      <c r="H13" s="90">
        <v>57818</v>
      </c>
      <c r="I13" s="90">
        <v>72459</v>
      </c>
      <c r="J13" s="90">
        <v>1971</v>
      </c>
      <c r="K13" s="90">
        <v>381046</v>
      </c>
      <c r="L13" s="90">
        <v>73260</v>
      </c>
      <c r="M13" s="90">
        <v>17711</v>
      </c>
      <c r="N13" s="90">
        <v>37364</v>
      </c>
      <c r="O13" s="90">
        <v>379059</v>
      </c>
    </row>
    <row r="14" spans="1:15" ht="11.25">
      <c r="A14" s="5">
        <v>1999</v>
      </c>
      <c r="B14" s="90" t="e">
        <f>SUM(C14:O14)</f>
        <v>#N/A</v>
      </c>
      <c r="C14" s="90" t="e">
        <f>NA()</f>
        <v>#N/A</v>
      </c>
      <c r="D14" s="90">
        <v>11585</v>
      </c>
      <c r="E14" s="90">
        <v>127732</v>
      </c>
      <c r="F14" s="90">
        <v>49480</v>
      </c>
      <c r="G14" s="90" t="e">
        <f>NA()</f>
        <v>#N/A</v>
      </c>
      <c r="H14" s="90">
        <v>57961</v>
      </c>
      <c r="I14" s="90">
        <v>73650</v>
      </c>
      <c r="J14" s="90">
        <v>2154</v>
      </c>
      <c r="K14" s="90">
        <v>371729</v>
      </c>
      <c r="L14" s="90">
        <v>73435</v>
      </c>
      <c r="M14" s="90">
        <v>17734</v>
      </c>
      <c r="N14" s="90">
        <v>38260</v>
      </c>
      <c r="O14" s="90" t="e">
        <f>NA()</f>
        <v>#N/A</v>
      </c>
    </row>
    <row r="15" spans="1:15" ht="11.25">
      <c r="A15" s="5"/>
      <c r="B15" s="5"/>
      <c r="C15" s="5"/>
      <c r="D15" s="5"/>
      <c r="E15" s="5"/>
      <c r="F15" s="5"/>
      <c r="G15" s="5"/>
      <c r="H15" s="5"/>
      <c r="I15" s="5"/>
      <c r="J15" s="5"/>
      <c r="K15" s="5"/>
      <c r="L15" s="5"/>
      <c r="M15" s="5"/>
      <c r="N15" s="5"/>
      <c r="O15" s="6"/>
    </row>
    <row r="16" spans="1:15" ht="11.25">
      <c r="A16" s="5" t="s">
        <v>78</v>
      </c>
      <c r="B16" s="5" t="s">
        <v>77</v>
      </c>
      <c r="C16" s="5"/>
      <c r="D16" s="5"/>
      <c r="E16" s="5"/>
      <c r="F16" s="5"/>
      <c r="G16" s="5"/>
      <c r="H16" s="5"/>
      <c r="I16" s="5"/>
      <c r="J16" s="5"/>
      <c r="K16" s="5"/>
      <c r="L16" s="5"/>
      <c r="M16" s="5"/>
      <c r="N16" s="5"/>
      <c r="O16" s="6"/>
    </row>
    <row r="17" spans="1:15" ht="11.25">
      <c r="A17" s="5"/>
      <c r="B17" s="5"/>
      <c r="C17" s="5"/>
      <c r="D17" s="5"/>
      <c r="E17" s="5"/>
      <c r="F17" s="5"/>
      <c r="G17" s="5"/>
      <c r="H17" s="5"/>
      <c r="I17" s="5"/>
      <c r="J17" s="5"/>
      <c r="K17" s="5"/>
      <c r="L17" s="5"/>
      <c r="M17" s="5"/>
      <c r="N17" s="5"/>
      <c r="O17" s="6"/>
    </row>
    <row r="18" spans="1:15" ht="11.25">
      <c r="A18" s="30" t="s">
        <v>94</v>
      </c>
      <c r="B18" s="31"/>
      <c r="C18" s="31"/>
      <c r="D18" s="31"/>
      <c r="E18" s="31"/>
      <c r="F18" s="31"/>
      <c r="G18" s="31"/>
      <c r="H18" s="31"/>
      <c r="I18" s="31"/>
      <c r="J18" s="31"/>
      <c r="K18" s="31"/>
      <c r="L18" s="31"/>
      <c r="M18" s="31"/>
      <c r="N18" s="31"/>
      <c r="O18" s="31"/>
    </row>
    <row r="19" spans="1:15" ht="11.25">
      <c r="A19" s="32" t="s">
        <v>27</v>
      </c>
      <c r="B19" s="31"/>
      <c r="C19" s="33"/>
      <c r="D19" s="33"/>
      <c r="E19" s="33"/>
      <c r="F19" s="33"/>
      <c r="G19" s="33"/>
      <c r="H19" s="33"/>
      <c r="I19" s="33"/>
      <c r="J19" s="33"/>
      <c r="K19" s="33"/>
      <c r="L19" s="33"/>
      <c r="M19" s="33"/>
      <c r="N19" s="33"/>
      <c r="O19" s="33"/>
    </row>
    <row r="20" spans="1:15" ht="11.25">
      <c r="A20" s="34"/>
      <c r="B20" s="31"/>
      <c r="C20" s="31"/>
      <c r="D20" s="31"/>
      <c r="E20" s="31"/>
      <c r="F20" s="31"/>
      <c r="G20" s="31"/>
      <c r="H20" s="31"/>
      <c r="I20" s="31"/>
      <c r="J20" s="31"/>
      <c r="K20" s="31"/>
      <c r="L20" s="31"/>
      <c r="M20" s="31"/>
      <c r="N20" s="31"/>
      <c r="O20" s="31"/>
    </row>
    <row r="21" spans="1:15" ht="11.25">
      <c r="A21" s="31"/>
      <c r="B21" s="35" t="s">
        <v>274</v>
      </c>
      <c r="C21" s="35" t="s">
        <v>0</v>
      </c>
      <c r="D21" s="35" t="s">
        <v>29</v>
      </c>
      <c r="E21" s="35" t="s">
        <v>1</v>
      </c>
      <c r="F21" s="35" t="s">
        <v>2</v>
      </c>
      <c r="G21" s="35" t="s">
        <v>3</v>
      </c>
      <c r="H21" s="35" t="s">
        <v>4</v>
      </c>
      <c r="I21" s="35" t="s">
        <v>5</v>
      </c>
      <c r="J21" s="35" t="s">
        <v>30</v>
      </c>
      <c r="K21" s="35" t="s">
        <v>6</v>
      </c>
      <c r="L21" s="35" t="s">
        <v>7</v>
      </c>
      <c r="M21" s="35" t="s">
        <v>8</v>
      </c>
      <c r="N21" s="35" t="s">
        <v>9</v>
      </c>
      <c r="O21" s="21" t="s">
        <v>31</v>
      </c>
    </row>
    <row r="22" spans="1:15" ht="11.25">
      <c r="A22" s="34">
        <v>1990</v>
      </c>
      <c r="B22" s="90">
        <f>SUM(C22:O22)-C22-L22-O22</f>
        <v>1763</v>
      </c>
      <c r="C22" s="1">
        <v>273</v>
      </c>
      <c r="D22" s="1">
        <v>0</v>
      </c>
      <c r="E22" s="1">
        <v>357</v>
      </c>
      <c r="F22" s="1">
        <v>41</v>
      </c>
      <c r="G22" s="1">
        <v>267</v>
      </c>
      <c r="H22" s="1">
        <v>0</v>
      </c>
      <c r="I22" s="1">
        <v>421</v>
      </c>
      <c r="J22" s="1">
        <v>0</v>
      </c>
      <c r="K22" s="1">
        <v>257</v>
      </c>
      <c r="L22" s="1">
        <v>113</v>
      </c>
      <c r="M22" s="1">
        <v>192</v>
      </c>
      <c r="N22" s="1">
        <v>228</v>
      </c>
      <c r="O22" s="1">
        <v>281</v>
      </c>
    </row>
    <row r="23" spans="1:15" ht="11.25">
      <c r="A23" s="34">
        <v>1991</v>
      </c>
      <c r="B23" s="90">
        <f aca="true" t="shared" si="1" ref="B23:B32">SUM(C23:O23)-C23-L23-O23</f>
        <v>1740</v>
      </c>
      <c r="C23" s="1">
        <v>276</v>
      </c>
      <c r="D23" s="1">
        <v>0</v>
      </c>
      <c r="E23" s="1">
        <v>362</v>
      </c>
      <c r="F23" s="1">
        <v>50</v>
      </c>
      <c r="G23" s="1">
        <v>269</v>
      </c>
      <c r="H23" s="1">
        <v>0</v>
      </c>
      <c r="I23" s="1">
        <v>376</v>
      </c>
      <c r="J23" s="1">
        <v>0</v>
      </c>
      <c r="K23" s="1">
        <v>239</v>
      </c>
      <c r="L23" s="1">
        <v>113</v>
      </c>
      <c r="M23" s="1">
        <v>198</v>
      </c>
      <c r="N23" s="1">
        <v>246</v>
      </c>
      <c r="O23" s="1">
        <v>387</v>
      </c>
    </row>
    <row r="24" spans="1:15" ht="11.25">
      <c r="A24" s="34">
        <v>1992</v>
      </c>
      <c r="B24" s="90">
        <f t="shared" si="1"/>
        <v>1786</v>
      </c>
      <c r="C24" s="1">
        <v>276</v>
      </c>
      <c r="D24" s="1">
        <v>0</v>
      </c>
      <c r="E24" s="1">
        <v>366</v>
      </c>
      <c r="F24" s="1">
        <v>60</v>
      </c>
      <c r="G24" s="1">
        <v>269</v>
      </c>
      <c r="H24" s="1">
        <v>0</v>
      </c>
      <c r="I24" s="1">
        <v>382</v>
      </c>
      <c r="J24" s="1">
        <v>0</v>
      </c>
      <c r="K24" s="1">
        <v>257</v>
      </c>
      <c r="L24" s="1">
        <v>113</v>
      </c>
      <c r="M24" s="1">
        <v>198</v>
      </c>
      <c r="N24" s="1">
        <v>254</v>
      </c>
      <c r="O24" s="1">
        <v>757</v>
      </c>
    </row>
    <row r="25" spans="1:15" ht="11.25">
      <c r="A25" s="34">
        <v>1993</v>
      </c>
      <c r="B25" s="90">
        <f t="shared" si="1"/>
        <v>1966</v>
      </c>
      <c r="C25" s="1">
        <v>277</v>
      </c>
      <c r="D25" s="1">
        <v>154</v>
      </c>
      <c r="E25" s="1">
        <v>390</v>
      </c>
      <c r="F25" s="1">
        <v>62</v>
      </c>
      <c r="G25" s="1">
        <v>269</v>
      </c>
      <c r="H25" s="1">
        <v>0</v>
      </c>
      <c r="I25" s="1">
        <v>394</v>
      </c>
      <c r="J25" s="1">
        <v>0</v>
      </c>
      <c r="K25" s="1">
        <v>231</v>
      </c>
      <c r="L25" s="1">
        <v>113</v>
      </c>
      <c r="M25" s="1">
        <v>198</v>
      </c>
      <c r="N25" s="1">
        <v>268</v>
      </c>
      <c r="O25" s="1">
        <v>1070</v>
      </c>
    </row>
    <row r="26" spans="1:15" ht="11.25">
      <c r="A26" s="34">
        <v>1994</v>
      </c>
      <c r="B26" s="90">
        <f t="shared" si="1"/>
        <v>2022</v>
      </c>
      <c r="C26" s="1">
        <v>277</v>
      </c>
      <c r="D26" s="1">
        <v>159</v>
      </c>
      <c r="E26" s="1">
        <v>392</v>
      </c>
      <c r="F26" s="1">
        <v>64</v>
      </c>
      <c r="G26" s="1">
        <v>293</v>
      </c>
      <c r="H26" s="1">
        <v>0</v>
      </c>
      <c r="I26" s="1">
        <v>394</v>
      </c>
      <c r="J26" s="1">
        <v>0</v>
      </c>
      <c r="K26" s="1">
        <v>245</v>
      </c>
      <c r="L26" s="1">
        <v>113</v>
      </c>
      <c r="M26" s="1">
        <v>198</v>
      </c>
      <c r="N26" s="1">
        <v>277</v>
      </c>
      <c r="O26" s="1">
        <v>1167</v>
      </c>
    </row>
    <row r="27" spans="1:15" ht="11.25">
      <c r="A27" s="34">
        <v>1995</v>
      </c>
      <c r="B27" s="90">
        <f t="shared" si="1"/>
        <v>2112.5</v>
      </c>
      <c r="C27" s="1">
        <v>314</v>
      </c>
      <c r="D27" s="1">
        <v>167.5</v>
      </c>
      <c r="E27" s="1">
        <v>414</v>
      </c>
      <c r="F27" s="1">
        <v>65</v>
      </c>
      <c r="G27" s="1">
        <v>335</v>
      </c>
      <c r="H27" s="1">
        <v>0</v>
      </c>
      <c r="I27" s="1">
        <v>394</v>
      </c>
      <c r="J27" s="1">
        <v>0</v>
      </c>
      <c r="K27" s="1">
        <v>246</v>
      </c>
      <c r="L27" s="1">
        <v>113</v>
      </c>
      <c r="M27" s="1">
        <v>198</v>
      </c>
      <c r="N27" s="1">
        <v>293</v>
      </c>
      <c r="O27" s="1">
        <v>1246</v>
      </c>
    </row>
    <row r="28" spans="1:15" ht="11.25">
      <c r="A28" s="34">
        <v>1996</v>
      </c>
      <c r="B28" s="90">
        <f t="shared" si="1"/>
        <v>2235</v>
      </c>
      <c r="C28" s="1">
        <v>314</v>
      </c>
      <c r="D28" s="1">
        <v>194</v>
      </c>
      <c r="E28" s="1">
        <v>423</v>
      </c>
      <c r="F28" s="1">
        <v>66</v>
      </c>
      <c r="G28" s="1">
        <v>365</v>
      </c>
      <c r="H28" s="1">
        <v>0</v>
      </c>
      <c r="I28" s="1">
        <v>404</v>
      </c>
      <c r="J28" s="1">
        <v>0</v>
      </c>
      <c r="K28" s="1">
        <v>258</v>
      </c>
      <c r="L28" s="1">
        <v>113</v>
      </c>
      <c r="M28" s="1">
        <v>215</v>
      </c>
      <c r="N28" s="1">
        <v>310</v>
      </c>
      <c r="O28" s="1">
        <v>1405</v>
      </c>
    </row>
    <row r="29" spans="1:15" ht="11.25">
      <c r="A29" s="34">
        <v>1997</v>
      </c>
      <c r="B29" s="90">
        <f t="shared" si="1"/>
        <v>2356</v>
      </c>
      <c r="C29" s="1">
        <v>314</v>
      </c>
      <c r="D29" s="1">
        <v>199</v>
      </c>
      <c r="E29" s="1">
        <v>485</v>
      </c>
      <c r="F29" s="1">
        <v>68</v>
      </c>
      <c r="G29" s="1">
        <v>381</v>
      </c>
      <c r="H29" s="1">
        <v>0</v>
      </c>
      <c r="I29" s="1">
        <v>410</v>
      </c>
      <c r="J29" s="1">
        <v>0</v>
      </c>
      <c r="K29" s="1">
        <v>264</v>
      </c>
      <c r="L29" s="1">
        <v>113</v>
      </c>
      <c r="M29" s="1">
        <v>219</v>
      </c>
      <c r="N29" s="1">
        <v>330</v>
      </c>
      <c r="O29" s="1">
        <v>1528</v>
      </c>
    </row>
    <row r="30" spans="1:15" ht="11.25">
      <c r="A30" s="34">
        <v>1998</v>
      </c>
      <c r="B30" s="90">
        <f t="shared" si="1"/>
        <v>2571</v>
      </c>
      <c r="C30" s="1">
        <v>319</v>
      </c>
      <c r="D30" s="1">
        <v>204</v>
      </c>
      <c r="E30" s="1">
        <v>499</v>
      </c>
      <c r="F30" s="1">
        <v>74</v>
      </c>
      <c r="G30" s="1">
        <v>448</v>
      </c>
      <c r="H30" s="1">
        <v>0</v>
      </c>
      <c r="I30" s="1">
        <v>417</v>
      </c>
      <c r="J30" s="1">
        <v>0</v>
      </c>
      <c r="K30" s="1">
        <v>268</v>
      </c>
      <c r="L30" s="1">
        <v>113</v>
      </c>
      <c r="M30" s="1">
        <v>292</v>
      </c>
      <c r="N30" s="1">
        <v>369</v>
      </c>
      <c r="O30" s="1">
        <v>1726</v>
      </c>
    </row>
    <row r="31" spans="1:15" ht="11.25">
      <c r="A31" s="34">
        <v>1999</v>
      </c>
      <c r="B31" s="90">
        <f t="shared" si="1"/>
        <v>2678</v>
      </c>
      <c r="C31" s="1">
        <v>324</v>
      </c>
      <c r="D31" s="1">
        <v>216</v>
      </c>
      <c r="E31" s="1">
        <v>499</v>
      </c>
      <c r="F31" s="1">
        <v>87</v>
      </c>
      <c r="G31" s="1">
        <v>448</v>
      </c>
      <c r="H31" s="1">
        <v>0</v>
      </c>
      <c r="I31" s="1">
        <v>417</v>
      </c>
      <c r="J31" s="1">
        <v>0</v>
      </c>
      <c r="K31" s="1">
        <v>317</v>
      </c>
      <c r="L31" s="1">
        <v>113</v>
      </c>
      <c r="M31" s="1">
        <v>295</v>
      </c>
      <c r="N31" s="1">
        <v>399</v>
      </c>
      <c r="O31" s="1">
        <v>1749</v>
      </c>
    </row>
    <row r="32" spans="1:15" ht="11.25">
      <c r="A32" s="34">
        <v>2000</v>
      </c>
      <c r="B32" s="90">
        <f t="shared" si="1"/>
        <v>2778</v>
      </c>
      <c r="C32" s="1">
        <v>324</v>
      </c>
      <c r="D32" s="1">
        <v>240</v>
      </c>
      <c r="E32" s="1">
        <v>499</v>
      </c>
      <c r="F32" s="1">
        <v>93</v>
      </c>
      <c r="G32" s="1">
        <v>448</v>
      </c>
      <c r="H32" s="1">
        <v>0</v>
      </c>
      <c r="I32" s="1">
        <v>417</v>
      </c>
      <c r="J32" s="1">
        <v>0</v>
      </c>
      <c r="K32" s="1">
        <v>358</v>
      </c>
      <c r="L32" s="1">
        <v>113</v>
      </c>
      <c r="M32" s="1">
        <v>296</v>
      </c>
      <c r="N32" s="1">
        <v>427</v>
      </c>
      <c r="O32" s="1">
        <v>1773</v>
      </c>
    </row>
    <row r="33" spans="1:15" ht="11.25">
      <c r="A33" s="34">
        <v>2001</v>
      </c>
      <c r="B33" s="90" t="e">
        <f>SUM(C33:O33)</f>
        <v>#N/A</v>
      </c>
      <c r="C33" s="1" t="e">
        <f>NA()</f>
        <v>#N/A</v>
      </c>
      <c r="D33" s="1">
        <v>257</v>
      </c>
      <c r="E33" s="1">
        <v>516.5</v>
      </c>
      <c r="F33" s="1" t="e">
        <f>NA()</f>
        <v>#N/A</v>
      </c>
      <c r="G33" s="1" t="e">
        <f>NA()</f>
        <v>#N/A</v>
      </c>
      <c r="H33" s="1">
        <v>0</v>
      </c>
      <c r="I33" s="1">
        <v>417</v>
      </c>
      <c r="J33" s="1">
        <v>0</v>
      </c>
      <c r="K33" s="1" t="e">
        <f>NA()</f>
        <v>#N/A</v>
      </c>
      <c r="L33" s="1" t="e">
        <f>NA()</f>
        <v>#N/A</v>
      </c>
      <c r="M33" s="1">
        <v>296.4</v>
      </c>
      <c r="N33" s="1">
        <v>435</v>
      </c>
      <c r="O33" s="1">
        <v>1851</v>
      </c>
    </row>
    <row r="35" spans="1:2" ht="11.25">
      <c r="A35" s="5" t="s">
        <v>78</v>
      </c>
      <c r="B35" s="5" t="s">
        <v>238</v>
      </c>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73"/>
  <sheetViews>
    <sheetView workbookViewId="0" topLeftCell="A43">
      <selection activeCell="J71" sqref="J71"/>
    </sheetView>
  </sheetViews>
  <sheetFormatPr defaultColWidth="9.00390625" defaultRowHeight="12.75"/>
  <cols>
    <col min="1" max="1" width="9.00390625" style="151" customWidth="1"/>
    <col min="2" max="2" width="6.875" style="151" customWidth="1"/>
    <col min="3" max="3" width="5.625" style="151" customWidth="1"/>
    <col min="4" max="4" width="5.875" style="151" customWidth="1"/>
    <col min="5" max="5" width="6.375" style="151" customWidth="1"/>
    <col min="6" max="12" width="9.00390625" style="151" customWidth="1"/>
    <col min="13" max="13" width="9.00390625" style="152" customWidth="1"/>
    <col min="14" max="16384" width="9.00390625" style="151" customWidth="1"/>
  </cols>
  <sheetData>
    <row r="1" ht="11.25">
      <c r="A1" s="151" t="s">
        <v>278</v>
      </c>
    </row>
    <row r="2" ht="11.25">
      <c r="A2" s="151" t="s">
        <v>279</v>
      </c>
    </row>
    <row r="3" ht="11.25">
      <c r="A3" s="151" t="s">
        <v>280</v>
      </c>
    </row>
    <row r="4" spans="2:12" ht="11.25">
      <c r="B4" s="151">
        <v>1990</v>
      </c>
      <c r="C4" s="151">
        <v>1991</v>
      </c>
      <c r="D4" s="151">
        <v>1992</v>
      </c>
      <c r="E4" s="151">
        <v>1993</v>
      </c>
      <c r="F4" s="151">
        <v>1994</v>
      </c>
      <c r="G4" s="151">
        <v>1995</v>
      </c>
      <c r="H4" s="151">
        <v>1996</v>
      </c>
      <c r="I4" s="151">
        <v>1997</v>
      </c>
      <c r="J4" s="151">
        <v>1998</v>
      </c>
      <c r="K4" s="151">
        <v>1999</v>
      </c>
      <c r="L4" s="151">
        <v>2000</v>
      </c>
    </row>
    <row r="5" spans="1:12" ht="11.25">
      <c r="A5" s="151" t="s">
        <v>281</v>
      </c>
      <c r="B5" s="151">
        <v>29918</v>
      </c>
      <c r="C5" s="151">
        <v>29924</v>
      </c>
      <c r="D5" s="151">
        <v>23663</v>
      </c>
      <c r="E5" s="151">
        <v>23668</v>
      </c>
      <c r="F5" s="151">
        <v>23660</v>
      </c>
      <c r="G5" s="151">
        <v>23306</v>
      </c>
      <c r="H5" s="151">
        <v>23276</v>
      </c>
      <c r="I5" s="151">
        <v>23277</v>
      </c>
      <c r="J5" s="151">
        <v>23300</v>
      </c>
      <c r="K5" s="151" t="e">
        <f>NA()</f>
        <v>#N/A</v>
      </c>
      <c r="L5" s="151" t="e">
        <f>NA()</f>
        <v>#N/A</v>
      </c>
    </row>
    <row r="6" spans="1:12" ht="11.25">
      <c r="A6" s="151" t="s">
        <v>282</v>
      </c>
      <c r="B6" s="151" t="e">
        <f>NA()</f>
        <v>#N/A</v>
      </c>
      <c r="C6" s="151" t="e">
        <f>NA()</f>
        <v>#N/A</v>
      </c>
      <c r="D6" s="151" t="e">
        <f>NA()</f>
        <v>#N/A</v>
      </c>
      <c r="E6" s="151" t="e">
        <f>NA()</f>
        <v>#N/A</v>
      </c>
      <c r="F6" s="151">
        <v>2428</v>
      </c>
      <c r="G6" s="151">
        <v>2839</v>
      </c>
      <c r="H6" s="151">
        <v>3015</v>
      </c>
      <c r="I6" s="151">
        <v>3103</v>
      </c>
      <c r="J6" s="151">
        <v>3155</v>
      </c>
      <c r="K6" s="151">
        <v>3221</v>
      </c>
      <c r="L6" s="151">
        <v>3271</v>
      </c>
    </row>
    <row r="7" spans="1:12" ht="11.25">
      <c r="A7" s="151" t="s">
        <v>283</v>
      </c>
      <c r="B7" s="151" t="e">
        <f>NA()</f>
        <v>#N/A</v>
      </c>
      <c r="C7" s="151" t="e">
        <f>NA()</f>
        <v>#N/A</v>
      </c>
      <c r="D7" s="151" t="e">
        <f>NA()</f>
        <v>#N/A</v>
      </c>
      <c r="E7" s="151">
        <v>68737</v>
      </c>
      <c r="F7" s="151">
        <v>69270</v>
      </c>
      <c r="G7" s="151">
        <v>66449</v>
      </c>
      <c r="H7" s="151">
        <v>70520</v>
      </c>
      <c r="I7" s="151">
        <v>72300</v>
      </c>
      <c r="J7" s="151">
        <v>72300</v>
      </c>
      <c r="K7" s="151">
        <v>72300</v>
      </c>
      <c r="L7" s="151">
        <v>72300</v>
      </c>
    </row>
    <row r="8" spans="1:12" ht="11.25">
      <c r="A8" s="151" t="s">
        <v>284</v>
      </c>
      <c r="B8" s="151" t="e">
        <f>NA()</f>
        <v>#N/A</v>
      </c>
      <c r="C8" s="151" t="e">
        <f>NA()</f>
        <v>#N/A</v>
      </c>
      <c r="D8" s="151" t="e">
        <f>NA()</f>
        <v>#N/A</v>
      </c>
      <c r="E8" s="151" t="e">
        <f>NA()</f>
        <v>#N/A</v>
      </c>
      <c r="F8" s="151" t="e">
        <f>NA()</f>
        <v>#N/A</v>
      </c>
      <c r="G8" s="151" t="e">
        <f>NA()</f>
        <v>#N/A</v>
      </c>
      <c r="H8" s="151" t="e">
        <f>NA()</f>
        <v>#N/A</v>
      </c>
      <c r="I8" s="151" t="e">
        <f>NA()</f>
        <v>#N/A</v>
      </c>
      <c r="J8" s="151">
        <v>33050</v>
      </c>
      <c r="K8" s="151">
        <v>33050</v>
      </c>
      <c r="L8" s="151" t="e">
        <f>NA()</f>
        <v>#N/A</v>
      </c>
    </row>
    <row r="9" spans="1:12" ht="11.25">
      <c r="A9" s="151" t="s">
        <v>285</v>
      </c>
      <c r="B9" s="151">
        <v>38941</v>
      </c>
      <c r="C9" s="151">
        <v>38941</v>
      </c>
      <c r="D9" s="151">
        <v>39640</v>
      </c>
      <c r="E9" s="151">
        <v>4515</v>
      </c>
      <c r="F9" s="151">
        <v>4546</v>
      </c>
      <c r="G9" s="151">
        <v>4990</v>
      </c>
      <c r="H9" s="151">
        <v>5074</v>
      </c>
      <c r="I9" s="151">
        <v>5039</v>
      </c>
      <c r="J9" s="151">
        <v>5124</v>
      </c>
      <c r="K9" s="151">
        <v>5162</v>
      </c>
      <c r="L9" s="151">
        <v>5201</v>
      </c>
    </row>
    <row r="10" spans="1:12" ht="11.25">
      <c r="A10" s="151" t="s">
        <v>286</v>
      </c>
      <c r="B10" s="151">
        <v>4557</v>
      </c>
      <c r="C10" s="151">
        <v>4618</v>
      </c>
      <c r="D10" s="151">
        <v>4630</v>
      </c>
      <c r="E10" s="151">
        <v>4689</v>
      </c>
      <c r="F10" s="151">
        <v>4677</v>
      </c>
      <c r="G10" s="151">
        <v>4726</v>
      </c>
      <c r="H10" s="151">
        <v>4853</v>
      </c>
      <c r="I10" s="151">
        <v>4882</v>
      </c>
      <c r="J10" s="151">
        <v>5308</v>
      </c>
      <c r="K10" s="151">
        <v>5551</v>
      </c>
      <c r="L10" s="151">
        <v>5753</v>
      </c>
    </row>
    <row r="11" spans="1:12" ht="11.25">
      <c r="A11" s="151" t="s">
        <v>287</v>
      </c>
      <c r="B11" s="151" t="e">
        <f>NA()</f>
        <v>#N/A</v>
      </c>
      <c r="C11" s="151" t="e">
        <f>NA()</f>
        <v>#N/A</v>
      </c>
      <c r="D11" s="151" t="e">
        <f>NA()</f>
        <v>#N/A</v>
      </c>
      <c r="E11" s="151" t="e">
        <f>NA()</f>
        <v>#N/A</v>
      </c>
      <c r="F11" s="151" t="e">
        <f>NA()</f>
        <v>#N/A</v>
      </c>
      <c r="G11" s="151" t="e">
        <f>NA()</f>
        <v>#N/A</v>
      </c>
      <c r="H11" s="151" t="e">
        <f>NA()</f>
        <v>#N/A</v>
      </c>
      <c r="I11" s="151">
        <v>647</v>
      </c>
      <c r="J11" s="151">
        <v>647</v>
      </c>
      <c r="K11" s="151">
        <v>1890</v>
      </c>
      <c r="L11" s="151">
        <v>1985</v>
      </c>
    </row>
    <row r="12" spans="1:12" ht="11.25">
      <c r="A12" s="151" t="s">
        <v>288</v>
      </c>
      <c r="B12" s="151">
        <v>188725</v>
      </c>
      <c r="C12" s="151">
        <v>191061</v>
      </c>
      <c r="D12" s="151">
        <v>192711</v>
      </c>
      <c r="E12" s="151">
        <v>194203</v>
      </c>
      <c r="F12" s="151">
        <v>196311</v>
      </c>
      <c r="G12" s="151">
        <v>198178</v>
      </c>
      <c r="H12" s="151">
        <v>200631</v>
      </c>
      <c r="I12" s="151">
        <v>202852</v>
      </c>
      <c r="J12" s="151">
        <v>206825</v>
      </c>
      <c r="K12" s="151">
        <v>197351</v>
      </c>
      <c r="L12" s="151" t="e">
        <f>NA()</f>
        <v>#N/A</v>
      </c>
    </row>
    <row r="13" spans="1:12" ht="11.25">
      <c r="A13" s="151" t="s">
        <v>289</v>
      </c>
      <c r="B13" s="151">
        <v>31166</v>
      </c>
      <c r="C13" s="151">
        <v>31166</v>
      </c>
      <c r="D13" s="151">
        <v>31166</v>
      </c>
      <c r="E13" s="151">
        <v>31166</v>
      </c>
      <c r="F13" s="151">
        <v>31159</v>
      </c>
      <c r="G13" s="151">
        <v>31141</v>
      </c>
      <c r="H13" s="151">
        <v>31054</v>
      </c>
      <c r="I13" s="151">
        <v>30985</v>
      </c>
      <c r="J13" s="151">
        <v>30864</v>
      </c>
      <c r="K13" s="151">
        <v>30622</v>
      </c>
      <c r="L13" s="151" t="e">
        <f>NA()</f>
        <v>#N/A</v>
      </c>
    </row>
    <row r="14" spans="1:12" ht="11.25">
      <c r="A14" s="151" t="s">
        <v>290</v>
      </c>
      <c r="B14" s="151">
        <v>10828</v>
      </c>
      <c r="C14" s="151">
        <v>10804</v>
      </c>
      <c r="D14" s="151">
        <v>10758</v>
      </c>
      <c r="E14" s="151">
        <v>10747</v>
      </c>
      <c r="F14" s="151">
        <v>10769</v>
      </c>
      <c r="G14" s="151">
        <v>10718</v>
      </c>
      <c r="H14" s="151">
        <v>10658</v>
      </c>
      <c r="I14" s="151">
        <v>10418.2</v>
      </c>
      <c r="J14" s="151">
        <v>10427</v>
      </c>
      <c r="K14" s="151">
        <v>10393</v>
      </c>
      <c r="L14" s="151">
        <v>10393.7</v>
      </c>
    </row>
    <row r="15" spans="1:12" ht="11.25">
      <c r="A15" s="151" t="s">
        <v>291</v>
      </c>
      <c r="B15" s="151" t="e">
        <f>NA()</f>
        <v>#N/A</v>
      </c>
      <c r="C15" s="151" t="e">
        <f>NA()</f>
        <v>#N/A</v>
      </c>
      <c r="D15" s="151" t="e">
        <f>NA()</f>
        <v>#N/A</v>
      </c>
      <c r="E15" s="151" t="e">
        <f>NA()</f>
        <v>#N/A</v>
      </c>
      <c r="F15" s="151" t="e">
        <f>NA()</f>
        <v>#N/A</v>
      </c>
      <c r="G15" s="151" t="e">
        <f>NA()</f>
        <v>#N/A</v>
      </c>
      <c r="H15" s="151" t="e">
        <f>NA()</f>
        <v>#N/A</v>
      </c>
      <c r="I15" s="151" t="e">
        <f>NA()</f>
        <v>#N/A</v>
      </c>
      <c r="J15" s="151">
        <v>17665</v>
      </c>
      <c r="K15" s="151">
        <v>18132</v>
      </c>
      <c r="L15" s="151">
        <v>18226</v>
      </c>
    </row>
    <row r="16" spans="1:12" ht="11.25">
      <c r="A16" s="151" t="s">
        <v>292</v>
      </c>
      <c r="B16" s="151" t="e">
        <f>NA()</f>
        <v>#N/A</v>
      </c>
      <c r="C16" s="151" t="e">
        <f>NA()</f>
        <v>#N/A</v>
      </c>
      <c r="D16" s="151" t="e">
        <f>NA()</f>
        <v>#N/A</v>
      </c>
      <c r="E16" s="151" t="e">
        <f>NA()</f>
        <v>#N/A</v>
      </c>
      <c r="F16" s="151">
        <v>320029</v>
      </c>
      <c r="G16" s="151">
        <v>320055</v>
      </c>
      <c r="H16" s="151">
        <v>320001</v>
      </c>
      <c r="I16" s="151">
        <v>320001</v>
      </c>
      <c r="J16" s="151">
        <v>319448</v>
      </c>
      <c r="K16" s="151" t="e">
        <f>NA()</f>
        <v>#N/A</v>
      </c>
      <c r="L16" s="151" t="e">
        <f>NA()</f>
        <v>#N/A</v>
      </c>
    </row>
    <row r="19" ht="11.25">
      <c r="A19" s="151" t="s">
        <v>278</v>
      </c>
    </row>
    <row r="20" ht="11.25">
      <c r="A20" s="151" t="s">
        <v>279</v>
      </c>
    </row>
    <row r="21" ht="11.25">
      <c r="A21" s="151" t="s">
        <v>293</v>
      </c>
    </row>
    <row r="22" spans="2:12" ht="11.25">
      <c r="B22" s="151">
        <v>1990</v>
      </c>
      <c r="C22" s="151">
        <v>1991</v>
      </c>
      <c r="D22" s="151">
        <v>1992</v>
      </c>
      <c r="E22" s="151">
        <v>1993</v>
      </c>
      <c r="F22" s="151">
        <v>1994</v>
      </c>
      <c r="G22" s="151">
        <v>1995</v>
      </c>
      <c r="H22" s="151">
        <v>1996</v>
      </c>
      <c r="I22" s="151">
        <v>1997</v>
      </c>
      <c r="J22" s="151">
        <v>1998</v>
      </c>
      <c r="K22" s="151">
        <v>1999</v>
      </c>
      <c r="L22" s="151">
        <v>2000</v>
      </c>
    </row>
    <row r="23" spans="1:12" ht="11.25">
      <c r="A23" s="151" t="s">
        <v>281</v>
      </c>
      <c r="B23" s="151">
        <v>3798</v>
      </c>
      <c r="C23" s="151">
        <v>3797</v>
      </c>
      <c r="D23" s="151">
        <v>10060</v>
      </c>
      <c r="E23" s="151">
        <v>10057</v>
      </c>
      <c r="F23" s="151">
        <v>10050</v>
      </c>
      <c r="G23" s="151">
        <v>10062</v>
      </c>
      <c r="H23" s="151">
        <v>10055</v>
      </c>
      <c r="I23" s="151">
        <v>10055</v>
      </c>
      <c r="J23" s="151">
        <v>10060</v>
      </c>
      <c r="K23" s="151" t="e">
        <f>NA()</f>
        <v>#N/A</v>
      </c>
      <c r="L23" s="151" t="e">
        <f>NA()</f>
        <v>#N/A</v>
      </c>
    </row>
    <row r="24" spans="1:12" ht="11.25">
      <c r="A24" s="151" t="s">
        <v>282</v>
      </c>
      <c r="B24" s="151" t="e">
        <f>NA()</f>
        <v>#N/A</v>
      </c>
      <c r="C24" s="151" t="e">
        <f>NA()</f>
        <v>#N/A</v>
      </c>
      <c r="D24" s="151" t="e">
        <f>NA()</f>
        <v>#N/A</v>
      </c>
      <c r="E24" s="151" t="e">
        <f>NA()</f>
        <v>#N/A</v>
      </c>
      <c r="F24" s="151">
        <v>2451</v>
      </c>
      <c r="G24" s="151">
        <v>2456</v>
      </c>
      <c r="H24" s="151">
        <v>2448</v>
      </c>
      <c r="I24" s="151">
        <v>2493</v>
      </c>
      <c r="J24" s="151">
        <v>2502</v>
      </c>
      <c r="K24" s="151">
        <v>2520</v>
      </c>
      <c r="L24" s="151">
        <v>2532</v>
      </c>
    </row>
    <row r="25" spans="1:12" ht="11.25">
      <c r="A25" s="151" t="s">
        <v>284</v>
      </c>
      <c r="B25" s="151" t="e">
        <f>NA()</f>
        <v>#N/A</v>
      </c>
      <c r="C25" s="151" t="e">
        <f>NA()</f>
        <v>#N/A</v>
      </c>
      <c r="D25" s="151" t="e">
        <f>NA()</f>
        <v>#N/A</v>
      </c>
      <c r="E25" s="151">
        <v>29071</v>
      </c>
      <c r="F25" s="151">
        <v>29071</v>
      </c>
      <c r="G25" s="151">
        <v>28833</v>
      </c>
      <c r="H25" s="151">
        <v>28800</v>
      </c>
      <c r="I25" s="151">
        <v>27387</v>
      </c>
      <c r="J25" s="151">
        <v>12532</v>
      </c>
      <c r="K25" s="151">
        <v>12532</v>
      </c>
      <c r="L25" s="151" t="e">
        <f>NA()</f>
        <v>#N/A</v>
      </c>
    </row>
    <row r="26" spans="1:12" ht="11.25">
      <c r="A26" s="151" t="s">
        <v>294</v>
      </c>
      <c r="B26" s="151">
        <v>23005</v>
      </c>
      <c r="C26" s="151">
        <v>23148</v>
      </c>
      <c r="D26" s="151">
        <v>23192</v>
      </c>
      <c r="E26" s="151">
        <v>23206</v>
      </c>
      <c r="F26" s="151">
        <v>23227</v>
      </c>
      <c r="G26" s="151">
        <v>23208</v>
      </c>
      <c r="H26" s="151">
        <v>23197</v>
      </c>
      <c r="I26" s="151">
        <v>23234</v>
      </c>
      <c r="J26" s="151">
        <v>23260</v>
      </c>
      <c r="K26" s="151" t="e">
        <f>NA()</f>
        <v>#N/A</v>
      </c>
      <c r="L26" s="151" t="e">
        <f>NA()</f>
        <v>#N/A</v>
      </c>
    </row>
    <row r="27" spans="1:12" ht="11.25">
      <c r="A27" s="151" t="s">
        <v>285</v>
      </c>
      <c r="C27" s="151">
        <v>12312</v>
      </c>
      <c r="D27" s="151">
        <v>13534</v>
      </c>
      <c r="E27" s="151">
        <v>39640</v>
      </c>
      <c r="F27" s="151">
        <v>30000</v>
      </c>
      <c r="G27" s="151">
        <v>30804</v>
      </c>
      <c r="H27" s="151">
        <v>31274</v>
      </c>
      <c r="I27" s="151">
        <v>31619</v>
      </c>
      <c r="J27" s="151">
        <v>32365</v>
      </c>
      <c r="K27" s="151">
        <v>32481</v>
      </c>
      <c r="L27" s="151">
        <v>33042</v>
      </c>
    </row>
    <row r="28" spans="1:12" ht="11.25">
      <c r="A28" s="151" t="s">
        <v>286</v>
      </c>
      <c r="B28" s="151">
        <v>27409</v>
      </c>
      <c r="C28" s="151">
        <v>23617</v>
      </c>
      <c r="E28" s="151">
        <v>30893</v>
      </c>
      <c r="F28" s="151">
        <v>34778</v>
      </c>
      <c r="G28" s="151">
        <v>36666</v>
      </c>
      <c r="H28" s="151">
        <v>40238</v>
      </c>
      <c r="I28" s="151">
        <v>43240</v>
      </c>
      <c r="J28" s="151">
        <v>45987</v>
      </c>
      <c r="K28" s="151">
        <v>46828</v>
      </c>
      <c r="L28" s="151">
        <v>48451</v>
      </c>
    </row>
    <row r="29" spans="1:12" ht="11.25">
      <c r="A29" s="151" t="s">
        <v>287</v>
      </c>
      <c r="B29" s="151" t="e">
        <f>NA()</f>
        <v>#N/A</v>
      </c>
      <c r="C29" s="151" t="e">
        <f>NA()</f>
        <v>#N/A</v>
      </c>
      <c r="D29" s="151" t="e">
        <f>NA()</f>
        <v>#N/A</v>
      </c>
      <c r="E29" s="151" t="e">
        <f>NA()</f>
        <v>#N/A</v>
      </c>
      <c r="F29" s="151" t="e">
        <f>NA()</f>
        <v>#N/A</v>
      </c>
      <c r="G29" s="151" t="e">
        <f>NA()</f>
        <v>#N/A</v>
      </c>
      <c r="H29" s="151" t="e">
        <f>NA()</f>
        <v>#N/A</v>
      </c>
      <c r="I29" s="151">
        <v>1167</v>
      </c>
      <c r="J29" s="151">
        <v>1167</v>
      </c>
      <c r="K29" s="151" t="e">
        <f>NA()</f>
        <v>#N/A</v>
      </c>
      <c r="L29" s="151" t="e">
        <f>NA()</f>
        <v>#N/A</v>
      </c>
    </row>
    <row r="30" spans="1:12" ht="11.25">
      <c r="A30" s="151" t="s">
        <v>288</v>
      </c>
      <c r="B30" s="151">
        <v>128854</v>
      </c>
      <c r="C30" s="151">
        <v>128705</v>
      </c>
      <c r="D30" s="151">
        <v>128673</v>
      </c>
      <c r="E30" s="151">
        <v>110098</v>
      </c>
      <c r="F30" s="151">
        <v>110387</v>
      </c>
      <c r="G30" s="151">
        <v>128624</v>
      </c>
      <c r="H30" s="151">
        <v>128684</v>
      </c>
      <c r="I30" s="151">
        <v>128548</v>
      </c>
      <c r="J30" s="151">
        <v>128544</v>
      </c>
      <c r="K30" s="151">
        <v>156258</v>
      </c>
      <c r="L30" s="151" t="e">
        <f>NA()</f>
        <v>#N/A</v>
      </c>
    </row>
    <row r="31" spans="1:12" ht="11.25">
      <c r="A31" s="151" t="s">
        <v>289</v>
      </c>
      <c r="B31" s="151">
        <v>26967</v>
      </c>
      <c r="C31" s="151">
        <v>26967</v>
      </c>
      <c r="D31" s="151">
        <v>26967</v>
      </c>
      <c r="E31" s="151">
        <v>26967</v>
      </c>
      <c r="F31" s="151">
        <v>26986</v>
      </c>
      <c r="G31" s="151">
        <v>27035</v>
      </c>
      <c r="H31" s="151">
        <v>27423</v>
      </c>
      <c r="I31" s="151">
        <v>27493</v>
      </c>
      <c r="J31" s="151">
        <v>27713</v>
      </c>
      <c r="K31" s="151">
        <v>28128</v>
      </c>
      <c r="L31" s="151">
        <v>63655</v>
      </c>
    </row>
    <row r="32" spans="1:12" ht="11.25">
      <c r="A32" s="151" t="s">
        <v>290</v>
      </c>
      <c r="B32" s="151">
        <v>3856</v>
      </c>
      <c r="C32" s="151">
        <v>3849</v>
      </c>
      <c r="D32" s="151">
        <v>3847</v>
      </c>
      <c r="E32" s="151">
        <v>3844</v>
      </c>
      <c r="F32" s="151">
        <v>3845</v>
      </c>
      <c r="G32" s="151">
        <v>3878</v>
      </c>
      <c r="H32" s="151">
        <v>3921</v>
      </c>
      <c r="I32" s="151">
        <v>3770.9</v>
      </c>
      <c r="J32" s="151">
        <v>3773</v>
      </c>
      <c r="K32" s="151">
        <v>3826</v>
      </c>
      <c r="L32" s="151">
        <v>3826.3</v>
      </c>
    </row>
    <row r="33" spans="1:12" ht="11.25">
      <c r="A33" s="151" t="s">
        <v>291</v>
      </c>
      <c r="B33" s="151">
        <v>9572</v>
      </c>
      <c r="C33" s="151">
        <v>9750</v>
      </c>
      <c r="D33" s="151">
        <v>9791</v>
      </c>
      <c r="E33" s="151">
        <v>9786</v>
      </c>
      <c r="F33" s="151">
        <v>9781</v>
      </c>
      <c r="G33" s="151">
        <v>9791</v>
      </c>
      <c r="H33" s="151">
        <v>9781</v>
      </c>
      <c r="I33" s="151">
        <v>9804</v>
      </c>
      <c r="J33" s="151">
        <v>13533</v>
      </c>
      <c r="K33" s="151">
        <v>13874</v>
      </c>
      <c r="L33" s="151">
        <v>13905</v>
      </c>
    </row>
    <row r="34" spans="1:12" ht="11.25">
      <c r="A34" s="151" t="s">
        <v>292</v>
      </c>
      <c r="B34" s="151">
        <v>27979</v>
      </c>
      <c r="C34" s="151">
        <v>27960</v>
      </c>
      <c r="D34" s="151">
        <v>28499</v>
      </c>
      <c r="E34" s="151">
        <v>28346</v>
      </c>
      <c r="F34" s="151">
        <v>28443</v>
      </c>
      <c r="G34" s="151">
        <v>28577</v>
      </c>
      <c r="H34" s="151">
        <v>28813</v>
      </c>
      <c r="I34" s="151">
        <v>29516</v>
      </c>
      <c r="J34" s="151">
        <v>26540</v>
      </c>
      <c r="K34" s="151" t="e">
        <f>NA()</f>
        <v>#N/A</v>
      </c>
      <c r="L34" s="151" t="e">
        <f>NA()</f>
        <v>#N/A</v>
      </c>
    </row>
    <row r="37" ht="11.25">
      <c r="A37" s="151" t="s">
        <v>278</v>
      </c>
    </row>
    <row r="38" ht="11.25">
      <c r="A38" s="151" t="s">
        <v>279</v>
      </c>
    </row>
    <row r="39" ht="11.25">
      <c r="A39" s="151" t="s">
        <v>295</v>
      </c>
    </row>
    <row r="40" spans="2:12" ht="11.25">
      <c r="B40" s="151">
        <v>1990</v>
      </c>
      <c r="C40" s="151">
        <v>1991</v>
      </c>
      <c r="D40" s="151">
        <v>1992</v>
      </c>
      <c r="E40" s="151">
        <v>1993</v>
      </c>
      <c r="F40" s="151">
        <v>1994</v>
      </c>
      <c r="G40" s="151">
        <v>1995</v>
      </c>
      <c r="H40" s="151">
        <v>1996</v>
      </c>
      <c r="I40" s="151">
        <v>1997</v>
      </c>
      <c r="J40" s="151">
        <v>1998</v>
      </c>
      <c r="K40" s="151">
        <v>1999</v>
      </c>
      <c r="L40" s="151">
        <v>2000</v>
      </c>
    </row>
    <row r="41" spans="1:14" ht="11.25">
      <c r="A41" s="151" t="s">
        <v>281</v>
      </c>
      <c r="B41" s="151">
        <v>2933</v>
      </c>
      <c r="C41" s="151">
        <v>2933</v>
      </c>
      <c r="D41" s="151">
        <v>2933</v>
      </c>
      <c r="E41" s="151">
        <v>2933</v>
      </c>
      <c r="F41" s="151">
        <v>2924</v>
      </c>
      <c r="G41" s="151">
        <v>3075</v>
      </c>
      <c r="H41" s="151">
        <v>3075</v>
      </c>
      <c r="I41" s="151">
        <v>3078</v>
      </c>
      <c r="J41" s="151">
        <v>3080</v>
      </c>
      <c r="K41" s="151">
        <v>36964</v>
      </c>
      <c r="L41" s="151" t="e">
        <f>NA()</f>
        <v>#N/A</v>
      </c>
      <c r="M41" s="152">
        <f>+J41/B41-1</f>
        <v>0.05011933174224348</v>
      </c>
      <c r="N41" s="151" t="s">
        <v>296</v>
      </c>
    </row>
    <row r="42" spans="1:12" ht="11.25">
      <c r="A42" s="151" t="s">
        <v>282</v>
      </c>
      <c r="B42" s="151" t="e">
        <f>NA()</f>
        <v>#N/A</v>
      </c>
      <c r="C42" s="151" t="e">
        <f>NA()</f>
        <v>#N/A</v>
      </c>
      <c r="D42" s="151" t="e">
        <f>NA()</f>
        <v>#N/A</v>
      </c>
      <c r="E42" s="151" t="e">
        <f>NA()</f>
        <v>#N/A</v>
      </c>
      <c r="F42" s="151">
        <v>4825</v>
      </c>
      <c r="G42" s="151">
        <v>4855</v>
      </c>
      <c r="H42" s="151">
        <v>4952</v>
      </c>
      <c r="I42" s="151">
        <v>5058</v>
      </c>
      <c r="J42" s="151">
        <v>5163</v>
      </c>
      <c r="K42" s="151">
        <v>5268</v>
      </c>
      <c r="L42" s="151">
        <v>5338</v>
      </c>
    </row>
    <row r="43" spans="1:14" ht="11.25">
      <c r="A43" s="151" t="s">
        <v>283</v>
      </c>
      <c r="B43" s="151">
        <v>55535</v>
      </c>
      <c r="C43" s="151">
        <v>55530</v>
      </c>
      <c r="D43" s="151">
        <v>55530</v>
      </c>
      <c r="E43" s="151">
        <v>55568</v>
      </c>
      <c r="F43" s="151">
        <v>55530</v>
      </c>
      <c r="G43" s="151">
        <v>55086</v>
      </c>
      <c r="H43" s="151">
        <v>55088</v>
      </c>
      <c r="I43" s="151">
        <v>54908</v>
      </c>
      <c r="J43" s="151">
        <v>54895</v>
      </c>
      <c r="K43" s="151">
        <v>54933</v>
      </c>
      <c r="L43" s="151">
        <v>54909</v>
      </c>
      <c r="M43" s="152">
        <f>+L43/B43-1</f>
        <v>-0.011272170703160223</v>
      </c>
      <c r="N43" s="151" t="s">
        <v>299</v>
      </c>
    </row>
    <row r="44" spans="1:12" ht="11.25">
      <c r="A44" s="151" t="s">
        <v>284</v>
      </c>
      <c r="B44" s="151">
        <v>14781</v>
      </c>
      <c r="C44" s="151">
        <v>14766</v>
      </c>
      <c r="D44" s="151">
        <v>14737</v>
      </c>
      <c r="E44" s="151">
        <v>14709</v>
      </c>
      <c r="F44" s="151">
        <v>14691</v>
      </c>
      <c r="G44" s="151">
        <v>14922</v>
      </c>
      <c r="H44" s="151">
        <v>15303</v>
      </c>
      <c r="I44" s="151">
        <v>16437</v>
      </c>
      <c r="J44" s="151">
        <v>3823</v>
      </c>
      <c r="K44" s="151">
        <v>3823</v>
      </c>
      <c r="L44" s="151" t="e">
        <f>NA()</f>
        <v>#N/A</v>
      </c>
    </row>
    <row r="45" spans="1:12" ht="11.25">
      <c r="A45" s="151" t="s">
        <v>294</v>
      </c>
      <c r="B45" s="151">
        <v>6469</v>
      </c>
      <c r="C45" s="151">
        <v>6477</v>
      </c>
      <c r="D45" s="151">
        <v>6489</v>
      </c>
      <c r="E45" s="151">
        <v>6488</v>
      </c>
      <c r="F45" s="151">
        <v>6509</v>
      </c>
      <c r="G45" s="151">
        <v>6530</v>
      </c>
      <c r="H45" s="151">
        <v>6487</v>
      </c>
      <c r="I45" s="151">
        <v>6134</v>
      </c>
      <c r="J45" s="151">
        <v>6537</v>
      </c>
      <c r="K45" s="151" t="e">
        <f>NA()</f>
        <v>#N/A</v>
      </c>
      <c r="L45" s="151" t="e">
        <f>NA()</f>
        <v>#N/A</v>
      </c>
    </row>
    <row r="46" spans="1:14" ht="11.25">
      <c r="A46" s="151" t="s">
        <v>285</v>
      </c>
      <c r="B46" s="151">
        <v>20600</v>
      </c>
      <c r="C46" s="151">
        <v>8272</v>
      </c>
      <c r="D46" s="151">
        <v>7018</v>
      </c>
      <c r="E46" s="151">
        <v>20538</v>
      </c>
      <c r="F46" s="151">
        <v>20446</v>
      </c>
      <c r="G46" s="151">
        <v>20411</v>
      </c>
      <c r="H46" s="151">
        <v>20332</v>
      </c>
      <c r="I46" s="151">
        <v>20332</v>
      </c>
      <c r="J46" s="151">
        <v>20329</v>
      </c>
      <c r="K46" s="151">
        <v>20318</v>
      </c>
      <c r="L46" s="151">
        <v>20323</v>
      </c>
      <c r="M46" s="152">
        <f>+L46/B46-1</f>
        <v>-0.013446601941747627</v>
      </c>
      <c r="N46" s="151" t="s">
        <v>299</v>
      </c>
    </row>
    <row r="47" spans="1:14" ht="11.25">
      <c r="A47" s="151" t="s">
        <v>286</v>
      </c>
      <c r="B47" s="151">
        <v>20904</v>
      </c>
      <c r="C47" s="151">
        <v>20522</v>
      </c>
      <c r="D47" s="151">
        <v>20727</v>
      </c>
      <c r="E47" s="151">
        <v>20717</v>
      </c>
      <c r="F47" s="151">
        <v>20725</v>
      </c>
      <c r="G47" s="151">
        <v>20727</v>
      </c>
      <c r="H47" s="151">
        <v>20717</v>
      </c>
      <c r="I47" s="151">
        <v>20711</v>
      </c>
      <c r="J47" s="151">
        <v>20747</v>
      </c>
      <c r="K47" s="151">
        <v>20854</v>
      </c>
      <c r="L47" s="151">
        <v>20896</v>
      </c>
      <c r="M47" s="152">
        <f>+L47/B47-1</f>
        <v>-0.00038270187523914423</v>
      </c>
      <c r="N47" s="151" t="s">
        <v>299</v>
      </c>
    </row>
    <row r="48" spans="1:12" ht="11.25">
      <c r="A48" s="151" t="s">
        <v>287</v>
      </c>
      <c r="B48" s="151" t="e">
        <f>NA()</f>
        <v>#N/A</v>
      </c>
      <c r="C48" s="151" t="e">
        <f>NA()</f>
        <v>#N/A</v>
      </c>
      <c r="D48" s="151" t="e">
        <f>NA()</f>
        <v>#N/A</v>
      </c>
      <c r="E48" s="151" t="e">
        <f>NA()</f>
        <v>#N/A</v>
      </c>
      <c r="F48" s="151" t="e">
        <f>NA()</f>
        <v>#N/A</v>
      </c>
      <c r="G48" s="151" t="e">
        <f>NA()</f>
        <v>#N/A</v>
      </c>
      <c r="H48" s="151" t="e">
        <f>NA()</f>
        <v>#N/A</v>
      </c>
      <c r="I48" s="151">
        <v>157</v>
      </c>
      <c r="J48" s="151">
        <v>157</v>
      </c>
      <c r="K48" s="151">
        <v>264</v>
      </c>
      <c r="L48" s="151">
        <v>277</v>
      </c>
    </row>
    <row r="49" spans="1:14" ht="11.25">
      <c r="A49" s="151" t="s">
        <v>288</v>
      </c>
      <c r="B49" s="151">
        <v>45280</v>
      </c>
      <c r="C49" s="151">
        <v>45342</v>
      </c>
      <c r="D49" s="151">
        <v>45359</v>
      </c>
      <c r="E49" s="151">
        <v>45595</v>
      </c>
      <c r="F49" s="151">
        <v>45612</v>
      </c>
      <c r="G49" s="151">
        <v>45431</v>
      </c>
      <c r="H49" s="151">
        <v>45417</v>
      </c>
      <c r="I49" s="151">
        <v>45384</v>
      </c>
      <c r="J49" s="151">
        <v>45409</v>
      </c>
      <c r="K49" s="151">
        <v>17852</v>
      </c>
      <c r="L49" s="151" t="e">
        <f>NA()</f>
        <v>#N/A</v>
      </c>
      <c r="M49" s="152">
        <f>+J49/B49-1</f>
        <v>0.0028489399293285533</v>
      </c>
      <c r="N49" s="151" t="s">
        <v>303</v>
      </c>
    </row>
    <row r="50" spans="1:14" ht="11.25">
      <c r="A50" s="151" t="s">
        <v>289</v>
      </c>
      <c r="B50" s="151">
        <v>10070</v>
      </c>
      <c r="C50" s="151">
        <v>10070</v>
      </c>
      <c r="D50" s="151">
        <v>10061</v>
      </c>
      <c r="E50" s="151">
        <v>10061</v>
      </c>
      <c r="F50" s="151">
        <v>10061</v>
      </c>
      <c r="G50" s="151">
        <v>9934</v>
      </c>
      <c r="H50" s="151">
        <v>9900</v>
      </c>
      <c r="I50" s="151">
        <v>9900</v>
      </c>
      <c r="J50" s="151">
        <v>9898</v>
      </c>
      <c r="K50" s="151">
        <v>9902</v>
      </c>
      <c r="L50" s="151">
        <v>10041</v>
      </c>
      <c r="M50" s="152">
        <f>+L50/B50-1</f>
        <v>-0.0028798411122145096</v>
      </c>
      <c r="N50" s="151" t="s">
        <v>299</v>
      </c>
    </row>
    <row r="51" spans="1:14" ht="11.25">
      <c r="A51" s="151" t="s">
        <v>290</v>
      </c>
      <c r="B51" s="151">
        <v>3061</v>
      </c>
      <c r="C51" s="151">
        <v>3069</v>
      </c>
      <c r="D51" s="151">
        <v>3077</v>
      </c>
      <c r="E51" s="151">
        <v>3076</v>
      </c>
      <c r="F51" s="151">
        <v>3077</v>
      </c>
      <c r="G51" s="151">
        <v>3074</v>
      </c>
      <c r="H51" s="151">
        <v>3073</v>
      </c>
      <c r="I51" s="151">
        <v>3218.9</v>
      </c>
      <c r="J51" s="151">
        <v>3223</v>
      </c>
      <c r="K51" s="151">
        <v>3220</v>
      </c>
      <c r="L51" s="151">
        <v>3221.7</v>
      </c>
      <c r="M51" s="152">
        <f>+L51/B51-1</f>
        <v>0.05249918327344005</v>
      </c>
      <c r="N51" s="151" t="s">
        <v>299</v>
      </c>
    </row>
    <row r="52" spans="1:14" ht="11.25">
      <c r="A52" s="151" t="s">
        <v>291</v>
      </c>
      <c r="B52" s="151">
        <v>4752</v>
      </c>
      <c r="C52" s="151">
        <v>4748</v>
      </c>
      <c r="D52" s="151">
        <v>4749</v>
      </c>
      <c r="E52" s="151">
        <v>4749</v>
      </c>
      <c r="F52" s="151">
        <v>4752</v>
      </c>
      <c r="G52" s="151">
        <v>4752</v>
      </c>
      <c r="H52" s="151">
        <v>4765</v>
      </c>
      <c r="I52" s="151">
        <v>4796</v>
      </c>
      <c r="J52" s="151">
        <v>5797</v>
      </c>
      <c r="K52" s="151">
        <v>5855</v>
      </c>
      <c r="L52" s="151">
        <v>5845</v>
      </c>
      <c r="M52" s="152">
        <f>+L52/B52-1</f>
        <v>0.2300084175084176</v>
      </c>
      <c r="N52" s="151" t="s">
        <v>299</v>
      </c>
    </row>
    <row r="53" spans="1:14" ht="11.25">
      <c r="A53" s="151" t="s">
        <v>292</v>
      </c>
      <c r="B53" s="151">
        <v>31149</v>
      </c>
      <c r="C53" s="151">
        <v>31261</v>
      </c>
      <c r="D53" s="151">
        <v>31343</v>
      </c>
      <c r="E53" s="151">
        <v>31424</v>
      </c>
      <c r="F53" s="151">
        <v>31389</v>
      </c>
      <c r="G53" s="151">
        <v>31422</v>
      </c>
      <c r="H53" s="151">
        <v>31412</v>
      </c>
      <c r="I53" s="151">
        <v>31320</v>
      </c>
      <c r="J53" s="151">
        <v>31345</v>
      </c>
      <c r="K53" s="151" t="e">
        <f>NA()</f>
        <v>#N/A</v>
      </c>
      <c r="L53" s="151" t="e">
        <f>NA()</f>
        <v>#N/A</v>
      </c>
      <c r="M53" s="152">
        <f>+J53/B53-1</f>
        <v>0.006292336832643075</v>
      </c>
      <c r="N53" s="151" t="s">
        <v>296</v>
      </c>
    </row>
    <row r="55" ht="11.25">
      <c r="A55" s="151" t="s">
        <v>114</v>
      </c>
    </row>
    <row r="56" spans="2:12" ht="11.25">
      <c r="B56" s="151">
        <v>1990</v>
      </c>
      <c r="C56" s="151">
        <v>1991</v>
      </c>
      <c r="D56" s="151">
        <v>1992</v>
      </c>
      <c r="E56" s="151">
        <v>1993</v>
      </c>
      <c r="F56" s="151">
        <v>1994</v>
      </c>
      <c r="G56" s="151">
        <v>1995</v>
      </c>
      <c r="H56" s="151">
        <v>1996</v>
      </c>
      <c r="I56" s="151">
        <v>1997</v>
      </c>
      <c r="J56" s="151">
        <v>1998</v>
      </c>
      <c r="K56" s="151">
        <v>1999</v>
      </c>
      <c r="L56" s="151">
        <v>2000</v>
      </c>
    </row>
    <row r="57" spans="1:14" ht="11.25">
      <c r="A57" s="151" t="s">
        <v>281</v>
      </c>
      <c r="B57" s="151">
        <f aca="true" t="shared" si="0" ref="B57:L57">+B5+B23+B41</f>
        <v>36649</v>
      </c>
      <c r="C57" s="151">
        <f t="shared" si="0"/>
        <v>36654</v>
      </c>
      <c r="D57" s="151">
        <f t="shared" si="0"/>
        <v>36656</v>
      </c>
      <c r="E57" s="151">
        <f t="shared" si="0"/>
        <v>36658</v>
      </c>
      <c r="F57" s="151">
        <f t="shared" si="0"/>
        <v>36634</v>
      </c>
      <c r="G57" s="151">
        <f t="shared" si="0"/>
        <v>36443</v>
      </c>
      <c r="H57" s="151">
        <f t="shared" si="0"/>
        <v>36406</v>
      </c>
      <c r="I57" s="151">
        <f t="shared" si="0"/>
        <v>36410</v>
      </c>
      <c r="J57" s="151">
        <f t="shared" si="0"/>
        <v>36440</v>
      </c>
      <c r="K57" s="151" t="e">
        <f t="shared" si="0"/>
        <v>#N/A</v>
      </c>
      <c r="L57" s="151" t="e">
        <f t="shared" si="0"/>
        <v>#N/A</v>
      </c>
      <c r="M57" s="152">
        <f>+J57/B57-1</f>
        <v>-0.005702747687522214</v>
      </c>
      <c r="N57" s="151" t="s">
        <v>296</v>
      </c>
    </row>
    <row r="58" spans="1:14" ht="11.25">
      <c r="A58" s="151" t="s">
        <v>282</v>
      </c>
      <c r="B58" s="151" t="e">
        <f aca="true" t="shared" si="1" ref="B58:L58">+B6+B24+B42</f>
        <v>#N/A</v>
      </c>
      <c r="C58" s="151" t="e">
        <f t="shared" si="1"/>
        <v>#N/A</v>
      </c>
      <c r="D58" s="151" t="e">
        <f t="shared" si="1"/>
        <v>#N/A</v>
      </c>
      <c r="E58" s="151" t="e">
        <f t="shared" si="1"/>
        <v>#N/A</v>
      </c>
      <c r="F58" s="151">
        <f t="shared" si="1"/>
        <v>9704</v>
      </c>
      <c r="G58" s="151">
        <f t="shared" si="1"/>
        <v>10150</v>
      </c>
      <c r="H58" s="151">
        <f t="shared" si="1"/>
        <v>10415</v>
      </c>
      <c r="I58" s="151">
        <f t="shared" si="1"/>
        <v>10654</v>
      </c>
      <c r="J58" s="151">
        <f t="shared" si="1"/>
        <v>10820</v>
      </c>
      <c r="K58" s="151">
        <f t="shared" si="1"/>
        <v>11009</v>
      </c>
      <c r="L58" s="151">
        <f t="shared" si="1"/>
        <v>11141</v>
      </c>
      <c r="M58" s="152">
        <f>+L58/F58-1</f>
        <v>0.14808326463314092</v>
      </c>
      <c r="N58" s="151" t="s">
        <v>297</v>
      </c>
    </row>
    <row r="59" spans="1:14" ht="11.25">
      <c r="A59" s="151" t="s">
        <v>283</v>
      </c>
      <c r="B59" s="151" t="e">
        <f aca="true" t="shared" si="2" ref="B59:L59">+B7+B25+B43</f>
        <v>#N/A</v>
      </c>
      <c r="C59" s="151" t="e">
        <f t="shared" si="2"/>
        <v>#N/A</v>
      </c>
      <c r="D59" s="151" t="e">
        <f t="shared" si="2"/>
        <v>#N/A</v>
      </c>
      <c r="E59" s="151">
        <f t="shared" si="2"/>
        <v>153376</v>
      </c>
      <c r="F59" s="151">
        <f t="shared" si="2"/>
        <v>153871</v>
      </c>
      <c r="G59" s="151">
        <f t="shared" si="2"/>
        <v>150368</v>
      </c>
      <c r="H59" s="151">
        <f t="shared" si="2"/>
        <v>154408</v>
      </c>
      <c r="I59" s="151">
        <f t="shared" si="2"/>
        <v>154595</v>
      </c>
      <c r="J59" s="151">
        <f t="shared" si="2"/>
        <v>139727</v>
      </c>
      <c r="K59" s="151">
        <f t="shared" si="2"/>
        <v>139765</v>
      </c>
      <c r="L59" s="151" t="e">
        <f t="shared" si="2"/>
        <v>#N/A</v>
      </c>
      <c r="M59" s="152">
        <f>+K59/E59-1</f>
        <v>-0.08874269768412268</v>
      </c>
      <c r="N59" s="151" t="s">
        <v>298</v>
      </c>
    </row>
    <row r="60" spans="1:12" ht="11.25">
      <c r="A60" s="151" t="s">
        <v>284</v>
      </c>
      <c r="B60" s="151" t="e">
        <f aca="true" t="shared" si="3" ref="B60:L60">+B8+B26+B44</f>
        <v>#N/A</v>
      </c>
      <c r="C60" s="151" t="e">
        <f t="shared" si="3"/>
        <v>#N/A</v>
      </c>
      <c r="D60" s="151" t="e">
        <f t="shared" si="3"/>
        <v>#N/A</v>
      </c>
      <c r="E60" s="151" t="e">
        <f t="shared" si="3"/>
        <v>#N/A</v>
      </c>
      <c r="F60" s="151" t="e">
        <f t="shared" si="3"/>
        <v>#N/A</v>
      </c>
      <c r="G60" s="151" t="e">
        <f t="shared" si="3"/>
        <v>#N/A</v>
      </c>
      <c r="H60" s="151" t="e">
        <f t="shared" si="3"/>
        <v>#N/A</v>
      </c>
      <c r="I60" s="151" t="e">
        <f t="shared" si="3"/>
        <v>#N/A</v>
      </c>
      <c r="J60" s="151">
        <f t="shared" si="3"/>
        <v>60133</v>
      </c>
      <c r="K60" s="151" t="e">
        <f t="shared" si="3"/>
        <v>#N/A</v>
      </c>
      <c r="L60" s="151" t="e">
        <f t="shared" si="3"/>
        <v>#N/A</v>
      </c>
    </row>
    <row r="61" spans="1:14" ht="11.25">
      <c r="A61" s="151" t="s">
        <v>294</v>
      </c>
      <c r="B61" s="151">
        <f aca="true" t="shared" si="4" ref="B61:L61">+B9+B27+B45</f>
        <v>45410</v>
      </c>
      <c r="C61" s="151">
        <f t="shared" si="4"/>
        <v>57730</v>
      </c>
      <c r="D61" s="151">
        <f t="shared" si="4"/>
        <v>59663</v>
      </c>
      <c r="E61" s="151">
        <f t="shared" si="4"/>
        <v>50643</v>
      </c>
      <c r="F61" s="151">
        <f t="shared" si="4"/>
        <v>41055</v>
      </c>
      <c r="G61" s="151">
        <f t="shared" si="4"/>
        <v>42324</v>
      </c>
      <c r="H61" s="151">
        <f t="shared" si="4"/>
        <v>42835</v>
      </c>
      <c r="I61" s="151">
        <f t="shared" si="4"/>
        <v>42792</v>
      </c>
      <c r="J61" s="151">
        <f t="shared" si="4"/>
        <v>44026</v>
      </c>
      <c r="K61" s="151" t="e">
        <f t="shared" si="4"/>
        <v>#N/A</v>
      </c>
      <c r="L61" s="151" t="e">
        <f t="shared" si="4"/>
        <v>#N/A</v>
      </c>
      <c r="M61" s="152">
        <f>+J61/B61-1</f>
        <v>-0.030477868310944678</v>
      </c>
      <c r="N61" s="151" t="s">
        <v>296</v>
      </c>
    </row>
    <row r="62" spans="1:14" ht="11.25">
      <c r="A62" s="151" t="s">
        <v>285</v>
      </c>
      <c r="B62" s="151">
        <f aca="true" t="shared" si="5" ref="B62:L62">+B10+B28+B46</f>
        <v>52566</v>
      </c>
      <c r="C62" s="151">
        <f t="shared" si="5"/>
        <v>36507</v>
      </c>
      <c r="D62" s="151">
        <f t="shared" si="5"/>
        <v>11648</v>
      </c>
      <c r="E62" s="151">
        <f t="shared" si="5"/>
        <v>56120</v>
      </c>
      <c r="F62" s="151">
        <f t="shared" si="5"/>
        <v>59901</v>
      </c>
      <c r="G62" s="151">
        <f t="shared" si="5"/>
        <v>61803</v>
      </c>
      <c r="H62" s="151">
        <f t="shared" si="5"/>
        <v>65423</v>
      </c>
      <c r="I62" s="151">
        <f t="shared" si="5"/>
        <v>68454</v>
      </c>
      <c r="J62" s="151">
        <f t="shared" si="5"/>
        <v>71624</v>
      </c>
      <c r="K62" s="151">
        <f t="shared" si="5"/>
        <v>72697</v>
      </c>
      <c r="L62" s="151">
        <f t="shared" si="5"/>
        <v>74527</v>
      </c>
      <c r="M62" s="152">
        <f>+L62/B62-1</f>
        <v>0.41777955332344097</v>
      </c>
      <c r="N62" s="151" t="s">
        <v>299</v>
      </c>
    </row>
    <row r="63" spans="1:12" ht="11.25">
      <c r="A63" s="151" t="s">
        <v>286</v>
      </c>
      <c r="B63" s="151" t="e">
        <f aca="true" t="shared" si="6" ref="B63:L63">+B11+B29+B47</f>
        <v>#N/A</v>
      </c>
      <c r="C63" s="151" t="e">
        <f t="shared" si="6"/>
        <v>#N/A</v>
      </c>
      <c r="D63" s="151" t="e">
        <f t="shared" si="6"/>
        <v>#N/A</v>
      </c>
      <c r="E63" s="151" t="e">
        <f t="shared" si="6"/>
        <v>#N/A</v>
      </c>
      <c r="F63" s="151" t="e">
        <f t="shared" si="6"/>
        <v>#N/A</v>
      </c>
      <c r="G63" s="151" t="e">
        <f t="shared" si="6"/>
        <v>#N/A</v>
      </c>
      <c r="H63" s="151" t="e">
        <f t="shared" si="6"/>
        <v>#N/A</v>
      </c>
      <c r="I63" s="151">
        <f t="shared" si="6"/>
        <v>22525</v>
      </c>
      <c r="J63" s="151">
        <f t="shared" si="6"/>
        <v>22561</v>
      </c>
      <c r="K63" s="151" t="e">
        <f t="shared" si="6"/>
        <v>#N/A</v>
      </c>
      <c r="L63" s="151" t="e">
        <f t="shared" si="6"/>
        <v>#N/A</v>
      </c>
    </row>
    <row r="64" spans="1:14" ht="11.25">
      <c r="A64" s="151" t="s">
        <v>287</v>
      </c>
      <c r="B64" s="151" t="e">
        <f aca="true" t="shared" si="7" ref="B64:L64">+B12+B30+B48</f>
        <v>#N/A</v>
      </c>
      <c r="C64" s="151" t="e">
        <f t="shared" si="7"/>
        <v>#N/A</v>
      </c>
      <c r="D64" s="151" t="e">
        <f t="shared" si="7"/>
        <v>#N/A</v>
      </c>
      <c r="E64" s="151" t="e">
        <f t="shared" si="7"/>
        <v>#N/A</v>
      </c>
      <c r="F64" s="151" t="e">
        <f t="shared" si="7"/>
        <v>#N/A</v>
      </c>
      <c r="G64" s="151" t="e">
        <f t="shared" si="7"/>
        <v>#N/A</v>
      </c>
      <c r="H64" s="151" t="e">
        <f t="shared" si="7"/>
        <v>#N/A</v>
      </c>
      <c r="I64" s="151">
        <f t="shared" si="7"/>
        <v>331557</v>
      </c>
      <c r="J64" s="151">
        <f t="shared" si="7"/>
        <v>335526</v>
      </c>
      <c r="K64" s="151">
        <f t="shared" si="7"/>
        <v>353873</v>
      </c>
      <c r="L64" s="151" t="e">
        <f t="shared" si="7"/>
        <v>#N/A</v>
      </c>
      <c r="M64" s="152">
        <f>+K64/I64-1</f>
        <v>0.06730667728324247</v>
      </c>
      <c r="N64" s="151" t="s">
        <v>300</v>
      </c>
    </row>
    <row r="65" spans="1:14" ht="11.25">
      <c r="A65" s="151" t="s">
        <v>288</v>
      </c>
      <c r="B65" s="151">
        <f aca="true" t="shared" si="8" ref="B65:L65">+B13+B31+B49</f>
        <v>103413</v>
      </c>
      <c r="C65" s="151">
        <f t="shared" si="8"/>
        <v>103475</v>
      </c>
      <c r="D65" s="151">
        <f t="shared" si="8"/>
        <v>103492</v>
      </c>
      <c r="E65" s="151">
        <f t="shared" si="8"/>
        <v>103728</v>
      </c>
      <c r="F65" s="151">
        <f t="shared" si="8"/>
        <v>103757</v>
      </c>
      <c r="G65" s="151">
        <f t="shared" si="8"/>
        <v>103607</v>
      </c>
      <c r="H65" s="151">
        <f t="shared" si="8"/>
        <v>103894</v>
      </c>
      <c r="I65" s="151">
        <f t="shared" si="8"/>
        <v>103862</v>
      </c>
      <c r="J65" s="151">
        <f t="shared" si="8"/>
        <v>103986</v>
      </c>
      <c r="K65" s="153">
        <f t="shared" si="8"/>
        <v>76602</v>
      </c>
      <c r="L65" s="151" t="e">
        <f t="shared" si="8"/>
        <v>#N/A</v>
      </c>
      <c r="M65" s="152">
        <f>+J65/B65-1</f>
        <v>0.005540889443300223</v>
      </c>
      <c r="N65" s="151" t="s">
        <v>296</v>
      </c>
    </row>
    <row r="66" spans="1:14" ht="11.25">
      <c r="A66" s="151" t="s">
        <v>289</v>
      </c>
      <c r="B66" s="151">
        <f aca="true" t="shared" si="9" ref="B66:L66">+B14+B32+B50</f>
        <v>24754</v>
      </c>
      <c r="C66" s="151">
        <f t="shared" si="9"/>
        <v>24723</v>
      </c>
      <c r="D66" s="151">
        <f t="shared" si="9"/>
        <v>24666</v>
      </c>
      <c r="E66" s="151">
        <f t="shared" si="9"/>
        <v>24652</v>
      </c>
      <c r="F66" s="151">
        <f t="shared" si="9"/>
        <v>24675</v>
      </c>
      <c r="G66" s="151">
        <f t="shared" si="9"/>
        <v>24530</v>
      </c>
      <c r="H66" s="151">
        <f t="shared" si="9"/>
        <v>24479</v>
      </c>
      <c r="I66" s="151">
        <f t="shared" si="9"/>
        <v>24089.1</v>
      </c>
      <c r="J66" s="151">
        <f t="shared" si="9"/>
        <v>24098</v>
      </c>
      <c r="K66" s="151">
        <f t="shared" si="9"/>
        <v>24121</v>
      </c>
      <c r="L66" s="151">
        <f t="shared" si="9"/>
        <v>24261</v>
      </c>
      <c r="M66" s="152">
        <f>+L66/B66-1</f>
        <v>-0.019915973176052315</v>
      </c>
      <c r="N66" s="151" t="s">
        <v>299</v>
      </c>
    </row>
    <row r="67" spans="1:14" ht="11.25">
      <c r="A67" s="151" t="s">
        <v>290</v>
      </c>
      <c r="B67" s="151" t="e">
        <f aca="true" t="shared" si="10" ref="B67:L67">+B15+B33+B51</f>
        <v>#N/A</v>
      </c>
      <c r="C67" s="151" t="e">
        <f t="shared" si="10"/>
        <v>#N/A</v>
      </c>
      <c r="D67" s="151" t="e">
        <f t="shared" si="10"/>
        <v>#N/A</v>
      </c>
      <c r="E67" s="151" t="e">
        <f t="shared" si="10"/>
        <v>#N/A</v>
      </c>
      <c r="F67" s="151" t="e">
        <f t="shared" si="10"/>
        <v>#N/A</v>
      </c>
      <c r="G67" s="151" t="e">
        <f t="shared" si="10"/>
        <v>#N/A</v>
      </c>
      <c r="H67" s="151" t="e">
        <f t="shared" si="10"/>
        <v>#N/A</v>
      </c>
      <c r="I67" s="151" t="e">
        <f t="shared" si="10"/>
        <v>#N/A</v>
      </c>
      <c r="J67" s="151">
        <f t="shared" si="10"/>
        <v>34421</v>
      </c>
      <c r="K67" s="151">
        <f t="shared" si="10"/>
        <v>35226</v>
      </c>
      <c r="L67" s="151">
        <f t="shared" si="10"/>
        <v>35352.7</v>
      </c>
      <c r="M67" s="152">
        <f>+L67/J67-1</f>
        <v>0.027067778391098418</v>
      </c>
      <c r="N67" s="151" t="s">
        <v>302</v>
      </c>
    </row>
    <row r="68" spans="1:14" ht="11.25">
      <c r="A68" s="151" t="s">
        <v>291</v>
      </c>
      <c r="B68" s="151" t="e">
        <f aca="true" t="shared" si="11" ref="B68:L68">+B16+B34+B52</f>
        <v>#N/A</v>
      </c>
      <c r="C68" s="151" t="e">
        <f t="shared" si="11"/>
        <v>#N/A</v>
      </c>
      <c r="D68" s="151" t="e">
        <f t="shared" si="11"/>
        <v>#N/A</v>
      </c>
      <c r="E68" s="151" t="e">
        <f t="shared" si="11"/>
        <v>#N/A</v>
      </c>
      <c r="F68" s="151">
        <f t="shared" si="11"/>
        <v>353224</v>
      </c>
      <c r="G68" s="151">
        <f t="shared" si="11"/>
        <v>353384</v>
      </c>
      <c r="H68" s="151">
        <f t="shared" si="11"/>
        <v>353579</v>
      </c>
      <c r="I68" s="151">
        <f t="shared" si="11"/>
        <v>354313</v>
      </c>
      <c r="J68" s="151">
        <f t="shared" si="11"/>
        <v>351785</v>
      </c>
      <c r="K68" s="151" t="e">
        <f t="shared" si="11"/>
        <v>#N/A</v>
      </c>
      <c r="L68" s="151" t="e">
        <f t="shared" si="11"/>
        <v>#N/A</v>
      </c>
      <c r="M68" s="152">
        <f>+J68/F68-1</f>
        <v>-0.004073902113106653</v>
      </c>
      <c r="N68" s="151" t="s">
        <v>301</v>
      </c>
    </row>
    <row r="69" spans="1:14" ht="11.25">
      <c r="A69" s="151" t="s">
        <v>292</v>
      </c>
      <c r="B69" s="151">
        <f aca="true" t="shared" si="12" ref="B69:L69">+B17+B35+B53</f>
        <v>31149</v>
      </c>
      <c r="C69" s="151">
        <f t="shared" si="12"/>
        <v>31261</v>
      </c>
      <c r="D69" s="151">
        <f t="shared" si="12"/>
        <v>31343</v>
      </c>
      <c r="E69" s="151">
        <f t="shared" si="12"/>
        <v>31424</v>
      </c>
      <c r="F69" s="151">
        <f t="shared" si="12"/>
        <v>31389</v>
      </c>
      <c r="G69" s="151">
        <f t="shared" si="12"/>
        <v>31422</v>
      </c>
      <c r="H69" s="151">
        <f t="shared" si="12"/>
        <v>31412</v>
      </c>
      <c r="I69" s="151">
        <f t="shared" si="12"/>
        <v>31320</v>
      </c>
      <c r="J69" s="151">
        <f t="shared" si="12"/>
        <v>31345</v>
      </c>
      <c r="K69" s="151" t="e">
        <f t="shared" si="12"/>
        <v>#N/A</v>
      </c>
      <c r="L69" s="151" t="e">
        <f t="shared" si="12"/>
        <v>#N/A</v>
      </c>
      <c r="M69" s="152">
        <f>+J69/B69-1</f>
        <v>0.006292336832643075</v>
      </c>
      <c r="N69" s="151" t="s">
        <v>296</v>
      </c>
    </row>
    <row r="71" spans="2:10" ht="11.25">
      <c r="B71" s="151">
        <f>+B65+B62+B61</f>
        <v>201389</v>
      </c>
      <c r="J71" s="151">
        <f>+J65+J62+J61</f>
        <v>219636</v>
      </c>
    </row>
    <row r="73" ht="11.25">
      <c r="J73" s="152">
        <f>+J71/B71-1</f>
        <v>0.09060574311407277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P124"/>
  <sheetViews>
    <sheetView tabSelected="1" workbookViewId="0" topLeftCell="A64">
      <selection activeCell="K121" sqref="K121"/>
    </sheetView>
  </sheetViews>
  <sheetFormatPr defaultColWidth="9.00390625" defaultRowHeight="12.75"/>
  <cols>
    <col min="1" max="15" width="8.75390625" style="1" customWidth="1"/>
    <col min="16" max="16384" width="9.25390625" style="1" customWidth="1"/>
  </cols>
  <sheetData>
    <row r="1" spans="1:15" ht="11.25">
      <c r="A1" s="4" t="s">
        <v>32</v>
      </c>
      <c r="B1" s="5"/>
      <c r="C1" s="5"/>
      <c r="D1" s="5"/>
      <c r="E1" s="5"/>
      <c r="F1" s="5"/>
      <c r="G1" s="5"/>
      <c r="H1" s="5"/>
      <c r="I1" s="5"/>
      <c r="J1" s="5"/>
      <c r="K1" s="5"/>
      <c r="L1" s="5"/>
      <c r="M1" s="5"/>
      <c r="N1" s="5"/>
      <c r="O1" s="10"/>
    </row>
    <row r="2" spans="1:15" ht="11.25">
      <c r="A2" s="18" t="s">
        <v>27</v>
      </c>
      <c r="B2" s="5"/>
      <c r="C2" s="5"/>
      <c r="D2" s="5"/>
      <c r="E2" s="5"/>
      <c r="F2" s="5"/>
      <c r="G2" s="5"/>
      <c r="H2" s="5"/>
      <c r="I2" s="5"/>
      <c r="J2" s="5"/>
      <c r="K2" s="5"/>
      <c r="L2" s="5"/>
      <c r="M2" s="5"/>
      <c r="N2" s="5"/>
      <c r="O2" s="10"/>
    </row>
    <row r="3" spans="1:15" ht="11.25">
      <c r="A3" s="5"/>
      <c r="B3" s="5"/>
      <c r="C3" s="5"/>
      <c r="D3" s="5"/>
      <c r="E3" s="5"/>
      <c r="F3" s="5"/>
      <c r="G3" s="5"/>
      <c r="H3" s="5"/>
      <c r="I3" s="5"/>
      <c r="J3" s="5"/>
      <c r="K3" s="5"/>
      <c r="L3" s="5"/>
      <c r="M3" s="5"/>
      <c r="N3" s="5"/>
      <c r="O3" s="10"/>
    </row>
    <row r="4" spans="1:16" ht="11.25">
      <c r="A4" s="5"/>
      <c r="B4" s="19" t="s">
        <v>175</v>
      </c>
      <c r="C4" s="20" t="s">
        <v>0</v>
      </c>
      <c r="D4" s="20" t="s">
        <v>29</v>
      </c>
      <c r="E4" s="20" t="s">
        <v>1</v>
      </c>
      <c r="F4" s="20" t="s">
        <v>2</v>
      </c>
      <c r="G4" s="20" t="s">
        <v>3</v>
      </c>
      <c r="H4" s="20" t="s">
        <v>4</v>
      </c>
      <c r="I4" s="20" t="s">
        <v>5</v>
      </c>
      <c r="J4" s="20" t="s">
        <v>30</v>
      </c>
      <c r="K4" s="20" t="s">
        <v>6</v>
      </c>
      <c r="L4" s="20" t="s">
        <v>7</v>
      </c>
      <c r="M4" s="20" t="s">
        <v>8</v>
      </c>
      <c r="N4" s="20" t="s">
        <v>9</v>
      </c>
      <c r="O4" s="21" t="s">
        <v>31</v>
      </c>
      <c r="P4" s="29"/>
    </row>
    <row r="5" spans="1:16" ht="11.25">
      <c r="A5" s="5">
        <v>1990</v>
      </c>
      <c r="B5" s="90">
        <f>+SUM(C5:O5)-O5-L5-C5</f>
        <v>53737</v>
      </c>
      <c r="C5" s="90">
        <v>4299</v>
      </c>
      <c r="D5" s="90">
        <f>+basedata_rail!D5</f>
        <v>0</v>
      </c>
      <c r="E5" s="90">
        <f>+basedata_rail!E5</f>
        <v>9451</v>
      </c>
      <c r="F5" s="90">
        <f>+basedata_rail!F5</f>
        <v>1026</v>
      </c>
      <c r="G5" s="90">
        <f>+basedata_rail!G5</f>
        <v>7772</v>
      </c>
      <c r="H5" s="90">
        <f>+basedata_rail!H5</f>
        <v>2397</v>
      </c>
      <c r="I5" s="90">
        <f>+basedata_rail!I5</f>
        <v>2007</v>
      </c>
      <c r="J5" s="90">
        <f>+basedata_rail!J5</f>
        <v>0</v>
      </c>
      <c r="K5" s="90">
        <f>+basedata_rail!K5</f>
        <v>26228</v>
      </c>
      <c r="L5" s="90">
        <f>+basedata_rail!L5</f>
        <v>11348</v>
      </c>
      <c r="M5" s="90">
        <f>+basedata_rail!M5</f>
        <v>3660</v>
      </c>
      <c r="N5" s="90">
        <f>+basedata_rail!N5</f>
        <v>1196</v>
      </c>
      <c r="O5" s="90">
        <f>+basedata_rail!O5</f>
        <v>8429</v>
      </c>
      <c r="P5" s="130"/>
    </row>
    <row r="6" spans="1:16" ht="11.25">
      <c r="A6" s="5">
        <v>1991</v>
      </c>
      <c r="B6" s="90">
        <f aca="true" t="shared" si="0" ref="B6:B16">+SUM(C6:O6)-O6-L6-C6</f>
        <v>53360</v>
      </c>
      <c r="C6" s="90">
        <f>+basedata_rail!C6</f>
        <v>4299</v>
      </c>
      <c r="D6" s="90">
        <f>+basedata_rail!D6</f>
        <v>0</v>
      </c>
      <c r="E6" s="90">
        <f>+basedata_rail!E6</f>
        <v>9454</v>
      </c>
      <c r="F6" s="90">
        <f>+basedata_rail!F6</f>
        <v>1026</v>
      </c>
      <c r="G6" s="90">
        <f>+basedata_rail!G6</f>
        <v>7766</v>
      </c>
      <c r="H6" s="90">
        <f>+basedata_rail!H6</f>
        <v>2397</v>
      </c>
      <c r="I6" s="90">
        <f>+basedata_rail!I6</f>
        <v>2007</v>
      </c>
      <c r="J6" s="90">
        <f>+basedata_rail!J6</f>
        <v>0</v>
      </c>
      <c r="K6" s="90">
        <f>+basedata_rail!K6</f>
        <v>25848</v>
      </c>
      <c r="L6" s="90">
        <f>+basedata_rail!L6</f>
        <v>11365</v>
      </c>
      <c r="M6" s="90">
        <f>+basedata_rail!M6</f>
        <v>3661</v>
      </c>
      <c r="N6" s="90">
        <f>+basedata_rail!N6</f>
        <v>1201</v>
      </c>
      <c r="O6" s="90">
        <f>+basedata_rail!O6</f>
        <v>8429</v>
      </c>
      <c r="P6" s="130"/>
    </row>
    <row r="7" spans="1:16" ht="11.25">
      <c r="A7" s="5">
        <v>1992</v>
      </c>
      <c r="B7" s="90">
        <f t="shared" si="0"/>
        <v>52688.2</v>
      </c>
      <c r="C7" s="90">
        <f>+basedata_rail!C7</f>
        <v>4294</v>
      </c>
      <c r="D7" s="90">
        <f>+basedata_rail!D7</f>
        <v>0</v>
      </c>
      <c r="E7" s="90">
        <f>+basedata_rail!E7</f>
        <v>9439</v>
      </c>
      <c r="F7" s="90">
        <f>+basedata_rail!F7</f>
        <v>1018.4</v>
      </c>
      <c r="G7" s="90">
        <f>+basedata_rail!G7</f>
        <v>7707</v>
      </c>
      <c r="H7" s="90">
        <f>+basedata_rail!H7</f>
        <v>2406</v>
      </c>
      <c r="I7" s="90">
        <f>+basedata_rail!I7</f>
        <v>2001.8</v>
      </c>
      <c r="J7" s="90">
        <f>+basedata_rail!J7</f>
        <v>0</v>
      </c>
      <c r="K7" s="90">
        <f>+basedata_rail!K7</f>
        <v>25254</v>
      </c>
      <c r="L7" s="90">
        <f>+basedata_rail!L7</f>
        <v>11430</v>
      </c>
      <c r="M7" s="90">
        <f>+basedata_rail!M7</f>
        <v>3661</v>
      </c>
      <c r="N7" s="90">
        <f>+basedata_rail!N7</f>
        <v>1201</v>
      </c>
      <c r="O7" s="90">
        <f>+basedata_rail!O7</f>
        <v>8430</v>
      </c>
      <c r="P7" s="130"/>
    </row>
    <row r="8" spans="1:16" ht="11.25">
      <c r="A8" s="5">
        <v>1993</v>
      </c>
      <c r="B8" s="90">
        <f t="shared" si="0"/>
        <v>52376.8</v>
      </c>
      <c r="C8" s="90">
        <f>+basedata_rail!C8</f>
        <v>4294</v>
      </c>
      <c r="D8" s="90">
        <f>+basedata_rail!D8</f>
        <v>0</v>
      </c>
      <c r="E8" s="90">
        <f>+basedata_rail!E8</f>
        <v>9441</v>
      </c>
      <c r="F8" s="90">
        <f>+basedata_rail!F8</f>
        <v>1024</v>
      </c>
      <c r="G8" s="90">
        <f>+basedata_rail!G8</f>
        <v>7709</v>
      </c>
      <c r="H8" s="90">
        <f>+basedata_rail!H8</f>
        <v>2413</v>
      </c>
      <c r="I8" s="90">
        <f>+basedata_rail!I8</f>
        <v>2001.8</v>
      </c>
      <c r="J8" s="90">
        <f>+basedata_rail!J8</f>
        <v>0</v>
      </c>
      <c r="K8" s="90">
        <f>+basedata_rail!K8</f>
        <v>24926</v>
      </c>
      <c r="L8" s="90">
        <f>+basedata_rail!L8</f>
        <v>11380</v>
      </c>
      <c r="M8" s="90">
        <f>+basedata_rail!M8</f>
        <v>3661</v>
      </c>
      <c r="N8" s="90">
        <f>+basedata_rail!N8</f>
        <v>1201</v>
      </c>
      <c r="O8" s="90">
        <f>+basedata_rail!O8</f>
        <v>8430</v>
      </c>
      <c r="P8" s="130"/>
    </row>
    <row r="9" spans="1:16" ht="11.25">
      <c r="A9" s="5">
        <v>1994</v>
      </c>
      <c r="B9" s="90">
        <f t="shared" si="0"/>
        <v>51703.8</v>
      </c>
      <c r="C9" s="90">
        <f>+basedata_rail!C9</f>
        <v>4291</v>
      </c>
      <c r="D9" s="90">
        <f>+basedata_rail!D9</f>
        <v>0</v>
      </c>
      <c r="E9" s="90">
        <f>+basedata_rail!E9</f>
        <v>9375</v>
      </c>
      <c r="F9" s="90">
        <f>+basedata_rail!F9</f>
        <v>1024</v>
      </c>
      <c r="G9" s="90">
        <f>+basedata_rail!G9</f>
        <v>7715</v>
      </c>
      <c r="H9" s="90">
        <f>+basedata_rail!H9</f>
        <v>2413</v>
      </c>
      <c r="I9" s="90">
        <f>+basedata_rail!I9</f>
        <v>2001.8</v>
      </c>
      <c r="J9" s="90">
        <f>+basedata_rail!J9</f>
        <v>0</v>
      </c>
      <c r="K9" s="90">
        <f>+basedata_rail!K9</f>
        <v>24313</v>
      </c>
      <c r="L9" s="90">
        <f>+basedata_rail!L9</f>
        <v>11374</v>
      </c>
      <c r="M9" s="90">
        <f>+basedata_rail!M9</f>
        <v>3661</v>
      </c>
      <c r="N9" s="90">
        <f>+basedata_rail!N9</f>
        <v>1201</v>
      </c>
      <c r="O9" s="90">
        <f>+basedata_rail!O9</f>
        <v>8452</v>
      </c>
      <c r="P9" s="130"/>
    </row>
    <row r="10" spans="1:16" ht="11.25">
      <c r="A10" s="5">
        <v>1995</v>
      </c>
      <c r="B10" s="90">
        <f t="shared" si="0"/>
        <v>51246.5</v>
      </c>
      <c r="C10" s="90">
        <f>+basedata_rail!C10</f>
        <v>4293</v>
      </c>
      <c r="D10" s="90">
        <f>+basedata_rail!D10</f>
        <v>0</v>
      </c>
      <c r="E10" s="90">
        <f>+basedata_rail!E10</f>
        <v>9327</v>
      </c>
      <c r="F10" s="90">
        <f>+basedata_rail!F10</f>
        <v>1020.7</v>
      </c>
      <c r="G10" s="90">
        <f>+basedata_rail!G10</f>
        <v>7632</v>
      </c>
      <c r="H10" s="90">
        <f>+basedata_rail!H10</f>
        <v>2413</v>
      </c>
      <c r="I10" s="90">
        <f>+basedata_rail!I10</f>
        <v>2001.8</v>
      </c>
      <c r="J10" s="90">
        <f>+basedata_rail!J10</f>
        <v>0</v>
      </c>
      <c r="K10" s="90">
        <f>+basedata_rail!K10</f>
        <v>23986</v>
      </c>
      <c r="L10" s="90">
        <f>+basedata_rail!L10</f>
        <v>11376</v>
      </c>
      <c r="M10" s="90">
        <f>+basedata_rail!M10</f>
        <v>3665</v>
      </c>
      <c r="N10" s="90">
        <f>+basedata_rail!N10</f>
        <v>1201</v>
      </c>
      <c r="O10" s="90">
        <f>+basedata_rail!O10</f>
        <v>8549</v>
      </c>
      <c r="P10" s="130"/>
    </row>
    <row r="11" spans="1:16" ht="11.25">
      <c r="A11" s="5">
        <v>1996</v>
      </c>
      <c r="B11" s="90">
        <f t="shared" si="0"/>
        <v>50772.8</v>
      </c>
      <c r="C11" s="90">
        <f>+basedata_rail!C11</f>
        <v>4293</v>
      </c>
      <c r="D11" s="90">
        <f>+basedata_rail!D11</f>
        <v>0</v>
      </c>
      <c r="E11" s="90">
        <f>+basedata_rail!E11</f>
        <v>9430</v>
      </c>
      <c r="F11" s="90">
        <f>+basedata_rail!F11</f>
        <v>1020</v>
      </c>
      <c r="G11" s="90">
        <f>+basedata_rail!G11</f>
        <v>7619</v>
      </c>
      <c r="H11" s="90">
        <f>+basedata_rail!H11</f>
        <v>2413</v>
      </c>
      <c r="I11" s="90">
        <f>+basedata_rail!I11</f>
        <v>1996.8</v>
      </c>
      <c r="J11" s="90">
        <f>+basedata_rail!J11</f>
        <v>0</v>
      </c>
      <c r="K11" s="90">
        <f>+basedata_rail!K11</f>
        <v>23420</v>
      </c>
      <c r="L11" s="90">
        <f>+basedata_rail!L11</f>
        <v>11385</v>
      </c>
      <c r="M11" s="90">
        <f>+basedata_rail!M11</f>
        <v>3673</v>
      </c>
      <c r="N11" s="90">
        <f>+basedata_rail!N11</f>
        <v>1201</v>
      </c>
      <c r="O11" s="90">
        <f>+basedata_rail!O11</f>
        <v>8607</v>
      </c>
      <c r="P11" s="130"/>
    </row>
    <row r="12" spans="1:16" ht="11.25">
      <c r="A12" s="5">
        <v>1997</v>
      </c>
      <c r="B12" s="90">
        <f t="shared" si="0"/>
        <v>50653.2</v>
      </c>
      <c r="C12" s="90">
        <f>+basedata_rail!C12</f>
        <v>4291</v>
      </c>
      <c r="D12" s="90">
        <f>+basedata_rail!D12</f>
        <v>0</v>
      </c>
      <c r="E12" s="90">
        <f>+basedata_rail!E12</f>
        <v>9430</v>
      </c>
      <c r="F12" s="90">
        <f>+basedata_rail!F12</f>
        <v>1018</v>
      </c>
      <c r="G12" s="90">
        <f>+basedata_rail!G12</f>
        <v>7593</v>
      </c>
      <c r="H12" s="90">
        <f>+basedata_rail!H12</f>
        <v>2413</v>
      </c>
      <c r="I12" s="90">
        <f>+basedata_rail!I12</f>
        <v>1997.2</v>
      </c>
      <c r="J12" s="90">
        <f>+basedata_rail!J12</f>
        <v>0</v>
      </c>
      <c r="K12" s="90">
        <f>+basedata_rail!K12</f>
        <v>23328</v>
      </c>
      <c r="L12" s="90">
        <f>+basedata_rail!L12</f>
        <v>11380</v>
      </c>
      <c r="M12" s="90">
        <f>+basedata_rail!M12</f>
        <v>3673</v>
      </c>
      <c r="N12" s="90">
        <f>+basedata_rail!N12</f>
        <v>1201</v>
      </c>
      <c r="O12" s="90">
        <f>+basedata_rail!O12</f>
        <v>8607</v>
      </c>
      <c r="P12" s="130"/>
    </row>
    <row r="13" spans="1:16" ht="11.25">
      <c r="A13" s="5">
        <v>1998</v>
      </c>
      <c r="B13" s="90">
        <f t="shared" si="0"/>
        <v>50526</v>
      </c>
      <c r="C13" s="90">
        <f>+basedata_rail!C13</f>
        <v>4290</v>
      </c>
      <c r="D13" s="90">
        <f>+basedata_rail!D13</f>
        <v>0</v>
      </c>
      <c r="E13" s="90">
        <f>+basedata_rail!E13</f>
        <v>9430</v>
      </c>
      <c r="F13" s="90">
        <f>+basedata_rail!F13</f>
        <v>968</v>
      </c>
      <c r="G13" s="90">
        <f>+basedata_rail!G13</f>
        <v>7642</v>
      </c>
      <c r="H13" s="90">
        <f>+basedata_rail!H13</f>
        <v>2413</v>
      </c>
      <c r="I13" s="90">
        <f>+basedata_rail!I13</f>
        <v>1997</v>
      </c>
      <c r="J13" s="90">
        <f>+basedata_rail!J13</f>
        <v>0</v>
      </c>
      <c r="K13" s="90">
        <f>+basedata_rail!K13</f>
        <v>23210</v>
      </c>
      <c r="L13" s="90">
        <f>+basedata_rail!L13</f>
        <v>11010</v>
      </c>
      <c r="M13" s="90">
        <f>+basedata_rail!M13</f>
        <v>3665</v>
      </c>
      <c r="N13" s="90">
        <f>+basedata_rail!N13</f>
        <v>1201</v>
      </c>
      <c r="O13" s="90">
        <f>+basedata_rail!O13</f>
        <v>8607</v>
      </c>
      <c r="P13" s="130"/>
    </row>
    <row r="14" spans="1:16" ht="11.25">
      <c r="A14" s="5">
        <v>1999</v>
      </c>
      <c r="B14" s="90">
        <f t="shared" si="0"/>
        <v>50138</v>
      </c>
      <c r="C14" s="90">
        <f>+basedata_rail!C14</f>
        <v>4290</v>
      </c>
      <c r="D14" s="90">
        <f>+basedata_rail!D14</f>
        <v>0</v>
      </c>
      <c r="E14" s="90">
        <f>+basedata_rail!E14</f>
        <v>9444</v>
      </c>
      <c r="F14" s="90">
        <f>+basedata_rail!F14</f>
        <v>968</v>
      </c>
      <c r="G14" s="90">
        <f>+basedata_rail!G14</f>
        <v>7651</v>
      </c>
      <c r="H14" s="90">
        <f>+basedata_rail!H14</f>
        <v>2413</v>
      </c>
      <c r="I14" s="90">
        <f>+basedata_rail!I14</f>
        <v>1905</v>
      </c>
      <c r="J14" s="90">
        <f>+basedata_rail!J14</f>
        <v>0</v>
      </c>
      <c r="K14" s="90">
        <f>+basedata_rail!K14</f>
        <v>22891</v>
      </c>
      <c r="L14" s="90">
        <f>+basedata_rail!L14</f>
        <v>10981</v>
      </c>
      <c r="M14" s="90">
        <f>+basedata_rail!M14</f>
        <v>3665</v>
      </c>
      <c r="N14" s="90">
        <f>+basedata_rail!N14</f>
        <v>1201</v>
      </c>
      <c r="O14" s="90">
        <f>+basedata_rail!O14</f>
        <v>8682</v>
      </c>
      <c r="P14" s="130"/>
    </row>
    <row r="15" spans="1:16" ht="11.25">
      <c r="A15" s="5">
        <v>2000</v>
      </c>
      <c r="B15" s="90">
        <f t="shared" si="0"/>
        <v>49752.7</v>
      </c>
      <c r="C15" s="90">
        <f>+basedata_rail!C15</f>
        <v>4320</v>
      </c>
      <c r="D15" s="90">
        <f>+basedata_rail!D15</f>
        <v>0</v>
      </c>
      <c r="E15" s="90">
        <f>+basedata_rail!E15</f>
        <v>9444</v>
      </c>
      <c r="F15" s="90">
        <f>+basedata_rail!F15</f>
        <v>968</v>
      </c>
      <c r="G15" s="90">
        <f>+basedata_rail!G15</f>
        <v>7679</v>
      </c>
      <c r="H15" s="90">
        <f>+basedata_rail!H15</f>
        <v>2331</v>
      </c>
      <c r="I15" s="90">
        <f>+basedata_rail!I15</f>
        <v>1904.7</v>
      </c>
      <c r="J15" s="90">
        <f>+basedata_rail!J15</f>
        <v>0</v>
      </c>
      <c r="K15" s="90">
        <f>+basedata_rail!K15</f>
        <v>22560</v>
      </c>
      <c r="L15" s="90">
        <f>+basedata_rail!L15</f>
        <v>11015</v>
      </c>
      <c r="M15" s="90">
        <f>+basedata_rail!M15</f>
        <v>3665</v>
      </c>
      <c r="N15" s="90">
        <f>+basedata_rail!N15</f>
        <v>1201</v>
      </c>
      <c r="O15" s="90">
        <f>+basedata_rail!O15</f>
        <v>8671</v>
      </c>
      <c r="P15" s="130"/>
    </row>
    <row r="16" spans="1:16" ht="11.25">
      <c r="A16" s="5">
        <v>2001</v>
      </c>
      <c r="B16" s="90" t="e">
        <f t="shared" si="0"/>
        <v>#N/A</v>
      </c>
      <c r="C16" s="90" t="e">
        <f>+basedata_rail!C16</f>
        <v>#N/A</v>
      </c>
      <c r="D16" s="90">
        <f>+basedata_rail!D16</f>
        <v>0</v>
      </c>
      <c r="E16" s="90">
        <f>+basedata_rail!E16</f>
        <v>9523</v>
      </c>
      <c r="F16" s="90" t="e">
        <f>+basedata_rail!F16</f>
        <v>#N/A</v>
      </c>
      <c r="G16" s="90" t="e">
        <f>+basedata_rail!G16</f>
        <v>#N/A</v>
      </c>
      <c r="H16" s="90">
        <f>+basedata_rail!H16</f>
        <v>2305</v>
      </c>
      <c r="I16" s="90">
        <f>+basedata_rail!I16</f>
        <v>1695.8</v>
      </c>
      <c r="J16" s="90">
        <f>+basedata_rail!J16</f>
        <v>0</v>
      </c>
      <c r="K16" s="90" t="e">
        <f>+basedata_rail!K16</f>
        <v>#N/A</v>
      </c>
      <c r="L16" s="90" t="e">
        <f>+basedata_rail!L16</f>
        <v>#N/A</v>
      </c>
      <c r="M16" s="90">
        <f>+basedata_rail!M16</f>
        <v>3665</v>
      </c>
      <c r="N16" s="90">
        <f>+basedata_rail!N16</f>
        <v>1228.6</v>
      </c>
      <c r="O16" s="90" t="e">
        <f>+basedata_rail!O16</f>
        <v>#N/A</v>
      </c>
      <c r="P16" s="130"/>
    </row>
    <row r="17" spans="1:15" ht="11.25">
      <c r="A17" s="5"/>
      <c r="B17" s="5"/>
      <c r="C17" s="5"/>
      <c r="D17" s="5"/>
      <c r="E17" s="5"/>
      <c r="F17" s="5"/>
      <c r="G17" s="5"/>
      <c r="H17" s="5"/>
      <c r="I17" s="5"/>
      <c r="J17" s="5"/>
      <c r="K17" s="5"/>
      <c r="L17" s="5"/>
      <c r="M17" s="5"/>
      <c r="N17" s="5"/>
      <c r="O17" s="10"/>
    </row>
    <row r="18" ht="11.25">
      <c r="A18" s="5" t="s">
        <v>67</v>
      </c>
    </row>
    <row r="19" spans="1:15" ht="11.25">
      <c r="A19" s="5"/>
      <c r="B19" s="90">
        <f aca="true" t="shared" si="1" ref="B19:O19">B14-B5</f>
        <v>-3599</v>
      </c>
      <c r="C19" s="90">
        <f t="shared" si="1"/>
        <v>-9</v>
      </c>
      <c r="D19" s="90">
        <f t="shared" si="1"/>
        <v>0</v>
      </c>
      <c r="E19" s="90">
        <f t="shared" si="1"/>
        <v>-7</v>
      </c>
      <c r="F19" s="90">
        <f t="shared" si="1"/>
        <v>-58</v>
      </c>
      <c r="G19" s="90">
        <f t="shared" si="1"/>
        <v>-121</v>
      </c>
      <c r="H19" s="90">
        <f t="shared" si="1"/>
        <v>16</v>
      </c>
      <c r="I19" s="90">
        <f t="shared" si="1"/>
        <v>-102</v>
      </c>
      <c r="J19" s="90">
        <f t="shared" si="1"/>
        <v>0</v>
      </c>
      <c r="K19" s="90">
        <f t="shared" si="1"/>
        <v>-3337</v>
      </c>
      <c r="L19" s="90">
        <f t="shared" si="1"/>
        <v>-367</v>
      </c>
      <c r="M19" s="90">
        <f t="shared" si="1"/>
        <v>5</v>
      </c>
      <c r="N19" s="90">
        <f t="shared" si="1"/>
        <v>5</v>
      </c>
      <c r="O19" s="90">
        <f t="shared" si="1"/>
        <v>253</v>
      </c>
    </row>
    <row r="20" spans="1:15" ht="11.25">
      <c r="A20" s="5" t="s">
        <v>15</v>
      </c>
      <c r="B20" s="90"/>
      <c r="C20" s="90"/>
      <c r="D20" s="90"/>
      <c r="E20" s="90"/>
      <c r="F20" s="90"/>
      <c r="G20" s="90"/>
      <c r="H20" s="90"/>
      <c r="I20" s="90"/>
      <c r="J20" s="90"/>
      <c r="K20" s="90"/>
      <c r="L20" s="90"/>
      <c r="M20" s="90"/>
      <c r="N20" s="90"/>
      <c r="O20" s="90"/>
    </row>
    <row r="21" spans="1:15" s="2" customFormat="1" ht="11.25">
      <c r="A21" s="7"/>
      <c r="B21" s="93">
        <f>POWER((B15/B5),(1/($A15-$A5)))-1</f>
        <v>-0.007674106901682132</v>
      </c>
      <c r="C21" s="93">
        <f aca="true" t="shared" si="2" ref="C21:O21">POWER((C14/C5),(1/($A14-$A5)))-1</f>
        <v>-0.0002328289549330398</v>
      </c>
      <c r="D21" s="93"/>
      <c r="E21" s="93">
        <f t="shared" si="2"/>
        <v>-8.23229212437715E-05</v>
      </c>
      <c r="F21" s="93">
        <f t="shared" si="2"/>
        <v>-0.006444802426229135</v>
      </c>
      <c r="G21" s="93">
        <f t="shared" si="2"/>
        <v>-0.001741944746207369</v>
      </c>
      <c r="H21" s="93">
        <f t="shared" si="2"/>
        <v>0.0007394767438411165</v>
      </c>
      <c r="I21" s="93">
        <f t="shared" si="2"/>
        <v>-0.005778690016073451</v>
      </c>
      <c r="J21" s="93"/>
      <c r="K21" s="93">
        <f t="shared" si="2"/>
        <v>-0.015006674107672868</v>
      </c>
      <c r="L21" s="93">
        <f t="shared" si="2"/>
        <v>-0.003646115644363457</v>
      </c>
      <c r="M21" s="93">
        <f t="shared" si="2"/>
        <v>0.00015169905239775794</v>
      </c>
      <c r="N21" s="93">
        <f t="shared" si="2"/>
        <v>0.00046365051595542717</v>
      </c>
      <c r="O21" s="93">
        <f t="shared" si="2"/>
        <v>0.003291379830268726</v>
      </c>
    </row>
    <row r="22" spans="1:15" ht="11.25">
      <c r="A22" s="5" t="s">
        <v>16</v>
      </c>
      <c r="B22" s="90"/>
      <c r="C22" s="90"/>
      <c r="D22" s="90"/>
      <c r="E22" s="90"/>
      <c r="F22" s="90"/>
      <c r="G22" s="90"/>
      <c r="H22" s="90"/>
      <c r="I22" s="90"/>
      <c r="J22" s="90"/>
      <c r="K22" s="90"/>
      <c r="L22" s="90"/>
      <c r="M22" s="90"/>
      <c r="N22" s="90"/>
      <c r="O22" s="90"/>
    </row>
    <row r="23" spans="1:15" ht="11.25">
      <c r="A23" s="5"/>
      <c r="B23" s="93">
        <f>+B15/B5-1</f>
        <v>-0.07414444423767619</v>
      </c>
      <c r="C23" s="93">
        <f aca="true" t="shared" si="3" ref="C23:O23">+C15/C5-1</f>
        <v>0.00488485694347518</v>
      </c>
      <c r="D23" s="93" t="e">
        <f t="shared" si="3"/>
        <v>#DIV/0!</v>
      </c>
      <c r="E23" s="93">
        <f t="shared" si="3"/>
        <v>-0.0007406623637710164</v>
      </c>
      <c r="F23" s="93">
        <f t="shared" si="3"/>
        <v>-0.05653021442495132</v>
      </c>
      <c r="G23" s="93">
        <f t="shared" si="3"/>
        <v>-0.011966031909418473</v>
      </c>
      <c r="H23" s="93">
        <f t="shared" si="3"/>
        <v>-0.027534418022528206</v>
      </c>
      <c r="I23" s="93">
        <f t="shared" si="3"/>
        <v>-0.050971599402092616</v>
      </c>
      <c r="J23" s="93" t="e">
        <f t="shared" si="3"/>
        <v>#DIV/0!</v>
      </c>
      <c r="K23" s="93">
        <f t="shared" si="3"/>
        <v>-0.13985054140613085</v>
      </c>
      <c r="L23" s="93">
        <f t="shared" si="3"/>
        <v>-0.02934437786394073</v>
      </c>
      <c r="M23" s="93">
        <f t="shared" si="3"/>
        <v>0.001366120218579292</v>
      </c>
      <c r="N23" s="93">
        <f t="shared" si="3"/>
        <v>0.004180602006689016</v>
      </c>
      <c r="O23" s="93">
        <f t="shared" si="3"/>
        <v>0.02871040455570051</v>
      </c>
    </row>
    <row r="24" spans="1:15" ht="11.25">
      <c r="A24" s="5"/>
      <c r="B24" s="5"/>
      <c r="C24" s="5"/>
      <c r="D24" s="5"/>
      <c r="E24" s="5"/>
      <c r="F24" s="5"/>
      <c r="G24" s="5"/>
      <c r="H24" s="5"/>
      <c r="I24" s="5"/>
      <c r="J24" s="5"/>
      <c r="K24" s="5"/>
      <c r="L24" s="5"/>
      <c r="M24" s="5"/>
      <c r="N24" s="5"/>
      <c r="O24" s="10"/>
    </row>
    <row r="25" spans="1:15" ht="11.25">
      <c r="A25" s="5" t="s">
        <v>78</v>
      </c>
      <c r="B25" s="5" t="s">
        <v>77</v>
      </c>
      <c r="C25" s="5"/>
      <c r="D25" s="5"/>
      <c r="E25" s="5"/>
      <c r="F25" s="5"/>
      <c r="G25" s="5"/>
      <c r="H25" s="5"/>
      <c r="I25" s="5"/>
      <c r="J25" s="5"/>
      <c r="K25" s="5"/>
      <c r="L25" s="5"/>
      <c r="M25" s="5"/>
      <c r="N25" s="5"/>
      <c r="O25" s="10"/>
    </row>
    <row r="26" spans="1:15" ht="11.25">
      <c r="A26" s="5" t="s">
        <v>69</v>
      </c>
      <c r="B26" s="5" t="s">
        <v>70</v>
      </c>
      <c r="C26" s="5"/>
      <c r="D26" s="5"/>
      <c r="E26" s="5"/>
      <c r="F26" s="5"/>
      <c r="G26" s="5"/>
      <c r="H26" s="5"/>
      <c r="I26" s="5"/>
      <c r="J26" s="5"/>
      <c r="K26" s="5"/>
      <c r="L26" s="5"/>
      <c r="M26" s="5"/>
      <c r="N26" s="5"/>
      <c r="O26" s="10"/>
    </row>
    <row r="27" spans="1:15" ht="11.25">
      <c r="A27" s="5"/>
      <c r="B27" s="5" t="s">
        <v>71</v>
      </c>
      <c r="C27" s="5"/>
      <c r="D27" s="5"/>
      <c r="E27" s="5"/>
      <c r="F27" s="5"/>
      <c r="G27" s="5"/>
      <c r="H27" s="5"/>
      <c r="I27" s="5"/>
      <c r="J27" s="5"/>
      <c r="K27" s="5"/>
      <c r="L27" s="5"/>
      <c r="M27" s="5"/>
      <c r="N27" s="5"/>
      <c r="O27" s="10"/>
    </row>
    <row r="28" spans="1:15" ht="11.25">
      <c r="A28" s="5"/>
      <c r="B28" s="5"/>
      <c r="C28" s="5"/>
      <c r="D28" s="5"/>
      <c r="E28" s="5"/>
      <c r="F28" s="5"/>
      <c r="G28" s="5"/>
      <c r="H28" s="5"/>
      <c r="I28" s="5"/>
      <c r="J28" s="5"/>
      <c r="K28" s="5"/>
      <c r="L28" s="5"/>
      <c r="M28" s="5"/>
      <c r="N28" s="5"/>
      <c r="O28" s="10"/>
    </row>
    <row r="29" spans="1:15" ht="11.25">
      <c r="A29" s="4" t="s">
        <v>38</v>
      </c>
      <c r="B29" s="5"/>
      <c r="C29" s="5"/>
      <c r="D29" s="5"/>
      <c r="E29" s="5"/>
      <c r="F29" s="5"/>
      <c r="G29" s="5"/>
      <c r="H29" s="5"/>
      <c r="I29" s="5"/>
      <c r="J29" s="5"/>
      <c r="K29" s="5"/>
      <c r="L29" s="5"/>
      <c r="M29" s="5"/>
      <c r="N29" s="5"/>
      <c r="O29" s="6"/>
    </row>
    <row r="30" ht="11.25">
      <c r="A30" s="23" t="s">
        <v>206</v>
      </c>
    </row>
    <row r="32" spans="1:16" ht="11.25">
      <c r="A32" s="5"/>
      <c r="B32" s="19" t="s">
        <v>175</v>
      </c>
      <c r="C32" s="20" t="s">
        <v>0</v>
      </c>
      <c r="D32" s="20" t="s">
        <v>29</v>
      </c>
      <c r="E32" s="20" t="s">
        <v>1</v>
      </c>
      <c r="F32" s="20" t="s">
        <v>2</v>
      </c>
      <c r="G32" s="20" t="s">
        <v>3</v>
      </c>
      <c r="H32" s="20" t="s">
        <v>4</v>
      </c>
      <c r="I32" s="20" t="s">
        <v>5</v>
      </c>
      <c r="J32" s="20" t="s">
        <v>30</v>
      </c>
      <c r="K32" s="20" t="s">
        <v>6</v>
      </c>
      <c r="L32" s="20" t="s">
        <v>7</v>
      </c>
      <c r="M32" s="20" t="s">
        <v>8</v>
      </c>
      <c r="N32" s="20" t="s">
        <v>9</v>
      </c>
      <c r="O32" s="21" t="s">
        <v>31</v>
      </c>
      <c r="P32" s="29"/>
    </row>
    <row r="33" spans="1:16" ht="11.25">
      <c r="A33" s="5">
        <v>1990</v>
      </c>
      <c r="B33" s="24">
        <f>+B5/'[5]basedata_surface'!B$6*1000</f>
        <v>72.75954700794523</v>
      </c>
      <c r="C33" s="24">
        <f>+C5/'[5]basedata_surface'!D$6*1000</f>
        <v>38.73182334180226</v>
      </c>
      <c r="D33" s="24">
        <f>+D5/'[5]basedata_surface'!E$6*1000</f>
        <v>0</v>
      </c>
      <c r="E33" s="24">
        <f>+E5/'[5]basedata_surface'!F$6*1000</f>
        <v>119.8361778206071</v>
      </c>
      <c r="F33" s="24">
        <f>+F5/'[5]basedata_surface'!G$6*1000</f>
        <v>22.685563933048844</v>
      </c>
      <c r="G33" s="24">
        <f>+G5/'[5]basedata_surface'!H$6*1000</f>
        <v>83.5429431366226</v>
      </c>
      <c r="H33" s="24">
        <f>+H5/'[5]basedata_surface'!I$6*1000</f>
        <v>37.111582467602844</v>
      </c>
      <c r="I33" s="24">
        <f>+I5/'[5]basedata_surface'!J$6*1000</f>
        <v>30.735068912710567</v>
      </c>
      <c r="J33" s="24">
        <f>+J5/'[5]basedata_surface'!K$6*1000</f>
        <v>0</v>
      </c>
      <c r="K33" s="24">
        <f>+K5/'[5]basedata_surface'!L$6*1000</f>
        <v>83.87994307370036</v>
      </c>
      <c r="L33" s="24">
        <f>+L5/'[5]basedata_surface'!M$6*1000</f>
        <v>47.60246821398459</v>
      </c>
      <c r="M33" s="24">
        <f>+M5/'[5]basedata_surface'!N$6*1000</f>
        <v>74.63904070478831</v>
      </c>
      <c r="N33" s="24">
        <f>+N5/'[5]basedata_surface'!O$6*1000</f>
        <v>59.044233807266984</v>
      </c>
      <c r="O33" s="24">
        <f>+O5/'[5]basedata_surface'!P$6*1000</f>
        <v>10.878725889405858</v>
      </c>
      <c r="P33" s="24"/>
    </row>
    <row r="34" spans="1:16" ht="11.25">
      <c r="A34" s="5">
        <v>1991</v>
      </c>
      <c r="B34" s="24">
        <f>+B6/'[5]basedata_surface'!B$6*1000</f>
        <v>72.24909147038275</v>
      </c>
      <c r="C34" s="24">
        <f>+C6/'[5]basedata_surface'!D$6*1000</f>
        <v>38.73182334180226</v>
      </c>
      <c r="D34" s="24">
        <f>+D6/'[5]basedata_surface'!E$6*1000</f>
        <v>0</v>
      </c>
      <c r="E34" s="24">
        <f>+E6/'[5]basedata_surface'!F$6*1000</f>
        <v>119.87421702634849</v>
      </c>
      <c r="F34" s="24">
        <f>+F6/'[5]basedata_surface'!G$6*1000</f>
        <v>22.685563933048844</v>
      </c>
      <c r="G34" s="24">
        <f>+G6/'[5]basedata_surface'!H$6*1000</f>
        <v>83.47844781253359</v>
      </c>
      <c r="H34" s="24">
        <f>+H6/'[5]basedata_surface'!I$6*1000</f>
        <v>37.111582467602844</v>
      </c>
      <c r="I34" s="24">
        <f>+I6/'[5]basedata_surface'!J$6*1000</f>
        <v>30.735068912710567</v>
      </c>
      <c r="J34" s="24">
        <f>+J6/'[5]basedata_surface'!K$6*1000</f>
        <v>0</v>
      </c>
      <c r="K34" s="24">
        <f>+K6/'[5]basedata_surface'!L$6*1000</f>
        <v>82.66466251978828</v>
      </c>
      <c r="L34" s="24">
        <f>+L6/'[5]basedata_surface'!M$6*1000</f>
        <v>47.67377963094244</v>
      </c>
      <c r="M34" s="24">
        <f>+M6/'[5]basedata_surface'!N$6*1000</f>
        <v>74.65943388530876</v>
      </c>
      <c r="N34" s="24">
        <f>+N6/'[5]basedata_surface'!O$6*1000</f>
        <v>59.29107424960506</v>
      </c>
      <c r="O34" s="24">
        <f>+O6/'[5]basedata_surface'!P$6*1000</f>
        <v>10.878725889405858</v>
      </c>
      <c r="P34" s="24"/>
    </row>
    <row r="35" spans="1:16" ht="11.25">
      <c r="A35" s="5">
        <v>1992</v>
      </c>
      <c r="B35" s="24">
        <f>+B7/'[5]basedata_surface'!B$6*1000</f>
        <v>71.33947865835495</v>
      </c>
      <c r="C35" s="24">
        <f>+C7/'[5]basedata_surface'!D$6*1000</f>
        <v>38.6867758617583</v>
      </c>
      <c r="D35" s="24">
        <f>+D7/'[5]basedata_surface'!E$6*1000</f>
        <v>0</v>
      </c>
      <c r="E35" s="24">
        <f>+E7/'[5]basedata_surface'!F$6*1000</f>
        <v>119.68402099764157</v>
      </c>
      <c r="F35" s="24">
        <f>+F7/'[5]basedata_surface'!G$6*1000</f>
        <v>22.517522718729964</v>
      </c>
      <c r="G35" s="24">
        <f>+G7/'[5]basedata_surface'!H$6*1000</f>
        <v>82.84424379232505</v>
      </c>
      <c r="H35" s="24">
        <f>+H7/'[5]basedata_surface'!I$6*1000</f>
        <v>37.250925080122</v>
      </c>
      <c r="I35" s="24">
        <f>+I7/'[5]basedata_surface'!J$6*1000</f>
        <v>30.655436447166924</v>
      </c>
      <c r="J35" s="24">
        <f>+J7/'[5]basedata_surface'!K$6*1000</f>
        <v>0</v>
      </c>
      <c r="K35" s="24">
        <f>+K7/'[5]basedata_surface'!L$6*1000</f>
        <v>80.76498712762046</v>
      </c>
      <c r="L35" s="24">
        <f>+L7/'[5]basedata_surface'!M$6*1000</f>
        <v>47.946440931075415</v>
      </c>
      <c r="M35" s="24">
        <f>+M7/'[5]basedata_surface'!N$6*1000</f>
        <v>74.65943388530876</v>
      </c>
      <c r="N35" s="24">
        <f>+N7/'[5]basedata_surface'!O$6*1000</f>
        <v>59.29107424960506</v>
      </c>
      <c r="O35" s="24">
        <f>+O7/'[5]basedata_surface'!P$6*1000</f>
        <v>10.880016520072534</v>
      </c>
      <c r="P35" s="24"/>
    </row>
    <row r="36" spans="1:16" ht="11.25">
      <c r="A36" s="5">
        <v>1993</v>
      </c>
      <c r="B36" s="24">
        <f>+B8/'[5]basedata_surface'!B$6*1000</f>
        <v>70.91784509231528</v>
      </c>
      <c r="C36" s="24">
        <f>+C8/'[5]basedata_surface'!D$6*1000</f>
        <v>38.6867758617583</v>
      </c>
      <c r="D36" s="24">
        <f>+D8/'[5]basedata_surface'!E$6*1000</f>
        <v>0</v>
      </c>
      <c r="E36" s="24">
        <f>+E8/'[5]basedata_surface'!F$6*1000</f>
        <v>119.70938046813582</v>
      </c>
      <c r="F36" s="24">
        <f>+F8/'[5]basedata_surface'!G$6*1000</f>
        <v>22.641342560859663</v>
      </c>
      <c r="G36" s="24">
        <f>+G8/'[5]basedata_surface'!H$6*1000</f>
        <v>82.86574223368807</v>
      </c>
      <c r="H36" s="24">
        <f>+H8/'[5]basedata_surface'!I$6*1000</f>
        <v>37.3593026676369</v>
      </c>
      <c r="I36" s="24">
        <f>+I8/'[5]basedata_surface'!J$6*1000</f>
        <v>30.655436447166924</v>
      </c>
      <c r="J36" s="24">
        <f>+J8/'[5]basedata_surface'!K$6*1000</f>
        <v>0</v>
      </c>
      <c r="K36" s="24">
        <f>+K8/'[5]basedata_surface'!L$6*1000</f>
        <v>79.71600812319107</v>
      </c>
      <c r="L36" s="24">
        <f>+L8/'[5]basedata_surface'!M$6*1000</f>
        <v>47.73670146943467</v>
      </c>
      <c r="M36" s="24">
        <f>+M8/'[5]basedata_surface'!N$6*1000</f>
        <v>74.65943388530876</v>
      </c>
      <c r="N36" s="24">
        <f>+N8/'[5]basedata_surface'!O$6*1000</f>
        <v>59.29107424960506</v>
      </c>
      <c r="O36" s="24">
        <f>+O8/'[5]basedata_surface'!P$6*1000</f>
        <v>10.880016520072534</v>
      </c>
      <c r="P36" s="24"/>
    </row>
    <row r="37" spans="1:16" ht="11.25">
      <c r="A37" s="5">
        <v>1994</v>
      </c>
      <c r="B37" s="24">
        <f>+B9/'[5]basedata_surface'!B$6*1000</f>
        <v>70.00660748812548</v>
      </c>
      <c r="C37" s="24">
        <f>+C9/'[5]basedata_surface'!D$6*1000</f>
        <v>38.65974737373192</v>
      </c>
      <c r="D37" s="24">
        <f>+D9/'[5]basedata_surface'!E$6*1000</f>
        <v>0</v>
      </c>
      <c r="E37" s="24">
        <f>+E9/'[5]basedata_surface'!F$6*1000</f>
        <v>118.87251794182538</v>
      </c>
      <c r="F37" s="24">
        <f>+F9/'[5]basedata_surface'!G$6*1000</f>
        <v>22.641342560859663</v>
      </c>
      <c r="G37" s="24">
        <f>+G9/'[5]basedata_surface'!H$6*1000</f>
        <v>82.93023755777706</v>
      </c>
      <c r="H37" s="24">
        <f>+H9/'[5]basedata_surface'!I$6*1000</f>
        <v>37.3593026676369</v>
      </c>
      <c r="I37" s="24">
        <f>+I9/'[5]basedata_surface'!J$6*1000</f>
        <v>30.655436447166924</v>
      </c>
      <c r="J37" s="24">
        <f>+J9/'[5]basedata_surface'!K$6*1000</f>
        <v>0</v>
      </c>
      <c r="K37" s="24">
        <f>+K9/'[5]basedata_surface'!L$6*1000</f>
        <v>77.75556870332763</v>
      </c>
      <c r="L37" s="24">
        <f>+L9/'[5]basedata_surface'!M$6*1000</f>
        <v>47.711532734037775</v>
      </c>
      <c r="M37" s="24">
        <f>+M9/'[5]basedata_surface'!N$6*1000</f>
        <v>74.65943388530876</v>
      </c>
      <c r="N37" s="24">
        <f>+N9/'[5]basedata_surface'!O$6*1000</f>
        <v>59.29107424960506</v>
      </c>
      <c r="O37" s="24">
        <f>+O9/'[5]basedata_surface'!P$6*1000</f>
        <v>10.90841039473939</v>
      </c>
      <c r="P37" s="24"/>
    </row>
    <row r="38" spans="1:16" ht="11.25">
      <c r="A38" s="5">
        <v>1995</v>
      </c>
      <c r="B38" s="24">
        <f>+B10/'[5]basedata_surface'!B$6*1000</f>
        <v>69.38742627505565</v>
      </c>
      <c r="C38" s="24">
        <f>+C10/'[5]basedata_surface'!D$6*1000</f>
        <v>38.677766365749505</v>
      </c>
      <c r="D38" s="24">
        <f>+D10/'[5]basedata_surface'!E$6*1000</f>
        <v>0</v>
      </c>
      <c r="E38" s="24">
        <f>+E10/'[5]basedata_surface'!F$6*1000</f>
        <v>118.26389064996323</v>
      </c>
      <c r="F38" s="24">
        <f>+F10/'[5]basedata_surface'!G$6*1000</f>
        <v>22.56837729674752</v>
      </c>
      <c r="G38" s="24">
        <f>+G10/'[5]basedata_surface'!H$6*1000</f>
        <v>82.03805224121251</v>
      </c>
      <c r="H38" s="24">
        <f>+H10/'[5]basedata_surface'!I$6*1000</f>
        <v>37.3593026676369</v>
      </c>
      <c r="I38" s="24">
        <f>+I10/'[5]basedata_surface'!J$6*1000</f>
        <v>30.655436447166924</v>
      </c>
      <c r="J38" s="24">
        <f>+J10/'[5]basedata_surface'!K$6*1000</f>
        <v>0</v>
      </c>
      <c r="K38" s="24">
        <f>+K10/'[5]basedata_surface'!L$6*1000</f>
        <v>76.70978780561907</v>
      </c>
      <c r="L38" s="24">
        <f>+L10/'[5]basedata_surface'!M$6*1000</f>
        <v>47.71992231250341</v>
      </c>
      <c r="M38" s="24">
        <f>+M10/'[5]basedata_surface'!N$6*1000</f>
        <v>74.74100660739049</v>
      </c>
      <c r="N38" s="24">
        <f>+N10/'[5]basedata_surface'!O$6*1000</f>
        <v>59.29107424960506</v>
      </c>
      <c r="O38" s="24">
        <f>+O10/'[5]basedata_surface'!P$6*1000</f>
        <v>11.03360156940689</v>
      </c>
      <c r="P38" s="24"/>
    </row>
    <row r="39" spans="1:16" ht="11.25">
      <c r="A39" s="5">
        <v>1996</v>
      </c>
      <c r="B39" s="24">
        <f>+B11/'[5]basedata_surface'!B$6*1000</f>
        <v>68.74603956910512</v>
      </c>
      <c r="C39" s="24">
        <f>+C11/'[5]basedata_surface'!D$6*1000</f>
        <v>38.677766365749505</v>
      </c>
      <c r="D39" s="24">
        <f>+D11/'[5]basedata_surface'!E$6*1000</f>
        <v>0</v>
      </c>
      <c r="E39" s="24">
        <f>+E11/'[5]basedata_surface'!F$6*1000</f>
        <v>119.56990338041741</v>
      </c>
      <c r="F39" s="24">
        <f>+F11/'[5]basedata_surface'!G$6*1000</f>
        <v>22.552899816481304</v>
      </c>
      <c r="G39" s="24">
        <f>+G11/'[5]basedata_surface'!H$6*1000</f>
        <v>81.898312372353</v>
      </c>
      <c r="H39" s="24">
        <f>+H11/'[5]basedata_surface'!I$6*1000</f>
        <v>37.3593026676369</v>
      </c>
      <c r="I39" s="24">
        <f>+I11/'[5]basedata_surface'!J$6*1000</f>
        <v>30.57886676875957</v>
      </c>
      <c r="J39" s="24">
        <f>+J11/'[5]basedata_surface'!K$6*1000</f>
        <v>0</v>
      </c>
      <c r="K39" s="24">
        <f>+K11/'[5]basedata_surface'!L$6*1000</f>
        <v>74.89965940163424</v>
      </c>
      <c r="L39" s="24">
        <f>+L11/'[5]basedata_surface'!M$6*1000</f>
        <v>47.75767541559874</v>
      </c>
      <c r="M39" s="24">
        <f>+M11/'[5]basedata_surface'!N$6*1000</f>
        <v>74.90415205155395</v>
      </c>
      <c r="N39" s="24">
        <f>+N11/'[5]basedata_surface'!O$6*1000</f>
        <v>59.29107424960506</v>
      </c>
      <c r="O39" s="24">
        <f>+O11/'[5]basedata_surface'!P$6*1000</f>
        <v>11.108458148074057</v>
      </c>
      <c r="P39" s="24"/>
    </row>
    <row r="40" spans="1:16" ht="11.25">
      <c r="A40" s="5">
        <v>1997</v>
      </c>
      <c r="B40" s="24">
        <f>+B12/'[5]basedata_surface'!B$6*1000</f>
        <v>68.5841019502922</v>
      </c>
      <c r="C40" s="24">
        <f>+C12/'[5]basedata_surface'!D$6*1000</f>
        <v>38.65974737373192</v>
      </c>
      <c r="D40" s="24">
        <f>+D12/'[5]basedata_surface'!E$6*1000</f>
        <v>0</v>
      </c>
      <c r="E40" s="24">
        <f>+E12/'[5]basedata_surface'!F$6*1000</f>
        <v>119.56990338041741</v>
      </c>
      <c r="F40" s="24">
        <f>+F12/'[5]basedata_surface'!G$6*1000</f>
        <v>22.508678444292126</v>
      </c>
      <c r="G40" s="24">
        <f>+G12/'[5]basedata_surface'!H$6*1000</f>
        <v>81.61883263463399</v>
      </c>
      <c r="H40" s="24">
        <f>+H12/'[5]basedata_surface'!I$6*1000</f>
        <v>37.3593026676369</v>
      </c>
      <c r="I40" s="24">
        <f>+I12/'[5]basedata_surface'!J$6*1000</f>
        <v>30.58499234303216</v>
      </c>
      <c r="J40" s="24">
        <f>+J12/'[5]basedata_surface'!K$6*1000</f>
        <v>0</v>
      </c>
      <c r="K40" s="24">
        <f>+K12/'[5]basedata_surface'!L$6*1000</f>
        <v>74.60543358331867</v>
      </c>
      <c r="L40" s="24">
        <f>+L12/'[5]basedata_surface'!M$6*1000</f>
        <v>47.73670146943467</v>
      </c>
      <c r="M40" s="24">
        <f>+M12/'[5]basedata_surface'!N$6*1000</f>
        <v>74.90415205155395</v>
      </c>
      <c r="N40" s="24">
        <f>+N12/'[5]basedata_surface'!O$6*1000</f>
        <v>59.29107424960506</v>
      </c>
      <c r="O40" s="24">
        <f>+O12/'[5]basedata_surface'!P$6*1000</f>
        <v>11.108458148074057</v>
      </c>
      <c r="P40" s="24"/>
    </row>
    <row r="41" spans="1:16" ht="11.25">
      <c r="A41" s="5">
        <v>1998</v>
      </c>
      <c r="B41" s="24">
        <f>+B13/'[5]basedata_surface'!B$6*1000</f>
        <v>68.41187398111992</v>
      </c>
      <c r="C41" s="24">
        <f>+C13/'[5]basedata_surface'!D$6*1000</f>
        <v>38.650737877723124</v>
      </c>
      <c r="D41" s="24">
        <f>+D13/'[5]basedata_surface'!E$6*1000</f>
        <v>0</v>
      </c>
      <c r="E41" s="24">
        <f>+E13/'[5]basedata_surface'!F$6*1000</f>
        <v>119.56990338041741</v>
      </c>
      <c r="F41" s="24">
        <f>+F13/'[5]basedata_surface'!G$6*1000</f>
        <v>21.403144139562652</v>
      </c>
      <c r="G41" s="24">
        <f>+G13/'[5]basedata_surface'!H$6*1000</f>
        <v>82.14554444802752</v>
      </c>
      <c r="H41" s="24">
        <f>+H13/'[5]basedata_surface'!I$6*1000</f>
        <v>37.3593026676369</v>
      </c>
      <c r="I41" s="24">
        <f>+I13/'[5]basedata_surface'!J$6*1000</f>
        <v>30.581929555895865</v>
      </c>
      <c r="J41" s="24">
        <f>+J13/'[5]basedata_surface'!K$6*1000</f>
        <v>0</v>
      </c>
      <c r="K41" s="24">
        <f>+K13/'[5]basedata_surface'!L$6*1000</f>
        <v>74.22805699026176</v>
      </c>
      <c r="L41" s="24">
        <f>+L13/'[5]basedata_surface'!M$6*1000</f>
        <v>46.18462945329312</v>
      </c>
      <c r="M41" s="24">
        <f>+M13/'[5]basedata_surface'!N$6*1000</f>
        <v>74.74100660739049</v>
      </c>
      <c r="N41" s="24">
        <f>+N13/'[5]basedata_surface'!O$6*1000</f>
        <v>59.29107424960506</v>
      </c>
      <c r="O41" s="24">
        <f>+O13/'[5]basedata_surface'!P$6*1000</f>
        <v>11.108458148074057</v>
      </c>
      <c r="P41" s="24"/>
    </row>
    <row r="42" spans="1:16" ht="11.25">
      <c r="A42" s="5">
        <v>1999</v>
      </c>
      <c r="B42" s="24">
        <f>+B14/'[5]basedata_surface'!B$6*1000</f>
        <v>67.88652451540574</v>
      </c>
      <c r="C42" s="24">
        <f>+C14/'[5]basedata_surface'!D$6*1000</f>
        <v>38.650737877723124</v>
      </c>
      <c r="D42" s="24">
        <f>+D14/'[5]basedata_surface'!E$6*1000</f>
        <v>0</v>
      </c>
      <c r="E42" s="24">
        <f>+E14/'[5]basedata_surface'!F$6*1000</f>
        <v>119.74741967387722</v>
      </c>
      <c r="F42" s="24">
        <f>+F14/'[5]basedata_surface'!G$6*1000</f>
        <v>21.403144139562652</v>
      </c>
      <c r="G42" s="24">
        <f>+G14/'[5]basedata_surface'!H$6*1000</f>
        <v>82.24228743416103</v>
      </c>
      <c r="H42" s="24">
        <f>+H14/'[5]basedata_surface'!I$6*1000</f>
        <v>37.3593026676369</v>
      </c>
      <c r="I42" s="24">
        <f>+I14/'[5]basedata_surface'!J$6*1000</f>
        <v>29.17304747320061</v>
      </c>
      <c r="J42" s="24">
        <f>+J14/'[5]basedata_surface'!K$6*1000</f>
        <v>0</v>
      </c>
      <c r="K42" s="24">
        <f>+K14/'[5]basedata_surface'!L$6*1000</f>
        <v>73.20786094631977</v>
      </c>
      <c r="L42" s="24">
        <f>+L14/'[5]basedata_surface'!M$6*1000</f>
        <v>46.06298056554149</v>
      </c>
      <c r="M42" s="24">
        <f>+M14/'[5]basedata_surface'!N$6*1000</f>
        <v>74.74100660739049</v>
      </c>
      <c r="N42" s="24">
        <f>+N14/'[5]basedata_surface'!O$6*1000</f>
        <v>59.29107424960506</v>
      </c>
      <c r="O42" s="24">
        <f>+O14/'[5]basedata_surface'!P$6*1000</f>
        <v>11.205255448074702</v>
      </c>
      <c r="P42" s="24"/>
    </row>
    <row r="43" spans="1:15" ht="11.25">
      <c r="A43" s="5">
        <v>2000</v>
      </c>
      <c r="B43" s="24">
        <f>+B15/'[5]basedata_surface'!B$6*1000</f>
        <v>67.36483083205606</v>
      </c>
      <c r="C43" s="24">
        <f>+C15/'[5]basedata_surface'!D$6*1000</f>
        <v>38.92102275798692</v>
      </c>
      <c r="D43" s="24">
        <f>+D15/'[5]basedata_surface'!E$6*1000</f>
        <v>0</v>
      </c>
      <c r="E43" s="24">
        <f>+E15/'[5]basedata_surface'!F$6*1000</f>
        <v>119.74741967387722</v>
      </c>
      <c r="F43" s="24">
        <f>+F15/'[5]basedata_surface'!G$6*1000</f>
        <v>21.403144139562652</v>
      </c>
      <c r="G43" s="24">
        <f>+G15/'[5]basedata_surface'!H$6*1000</f>
        <v>82.54326561324305</v>
      </c>
      <c r="H43" s="24">
        <f>+H15/'[5]basedata_surface'!I$6*1000</f>
        <v>36.089736642462334</v>
      </c>
      <c r="I43" s="24">
        <f>+I15/'[5]basedata_surface'!J$6*1000</f>
        <v>29.168453292496174</v>
      </c>
      <c r="J43" s="24">
        <f>+J15/'[5]basedata_surface'!K$6*1000</f>
        <v>0</v>
      </c>
      <c r="K43" s="24">
        <f>+K15/'[5]basedata_surface'!L$6*1000</f>
        <v>72.14928762172794</v>
      </c>
      <c r="L43" s="24">
        <f>+L15/'[5]basedata_surface'!M$6*1000</f>
        <v>46.205603399457196</v>
      </c>
      <c r="M43" s="24">
        <f>+M15/'[5]basedata_surface'!N$6*1000</f>
        <v>74.74100660739049</v>
      </c>
      <c r="N43" s="24">
        <f>+N15/'[5]basedata_surface'!O$6*1000</f>
        <v>59.29107424960506</v>
      </c>
      <c r="O43" s="24">
        <f>+O15/'[5]basedata_surface'!P$6*1000</f>
        <v>11.191058510741275</v>
      </c>
    </row>
    <row r="45" spans="1:15" ht="11.25">
      <c r="A45" s="4" t="s">
        <v>45</v>
      </c>
      <c r="B45" s="5"/>
      <c r="C45" s="5"/>
      <c r="D45" s="5"/>
      <c r="E45" s="5"/>
      <c r="F45" s="5"/>
      <c r="G45" s="5"/>
      <c r="H45" s="5"/>
      <c r="I45" s="5"/>
      <c r="J45" s="5"/>
      <c r="K45" s="5"/>
      <c r="L45" s="5"/>
      <c r="M45" s="5"/>
      <c r="N45" s="5"/>
      <c r="O45" s="6"/>
    </row>
    <row r="46" ht="11.25">
      <c r="A46" s="23" t="s">
        <v>209</v>
      </c>
    </row>
    <row r="48" spans="1:16" ht="11.25">
      <c r="A48" s="5"/>
      <c r="B48" s="19" t="s">
        <v>175</v>
      </c>
      <c r="C48" s="20" t="s">
        <v>0</v>
      </c>
      <c r="D48" s="20" t="s">
        <v>29</v>
      </c>
      <c r="E48" s="20" t="s">
        <v>1</v>
      </c>
      <c r="F48" s="20" t="s">
        <v>2</v>
      </c>
      <c r="G48" s="20" t="s">
        <v>3</v>
      </c>
      <c r="H48" s="20" t="s">
        <v>4</v>
      </c>
      <c r="I48" s="20" t="s">
        <v>5</v>
      </c>
      <c r="J48" s="20" t="s">
        <v>30</v>
      </c>
      <c r="K48" s="20" t="s">
        <v>6</v>
      </c>
      <c r="L48" s="20" t="s">
        <v>7</v>
      </c>
      <c r="M48" s="20" t="s">
        <v>8</v>
      </c>
      <c r="N48" s="20" t="s">
        <v>9</v>
      </c>
      <c r="O48" s="21" t="s">
        <v>31</v>
      </c>
      <c r="P48" s="29"/>
    </row>
    <row r="49" spans="1:16" ht="11.25">
      <c r="A49" s="5">
        <v>1990</v>
      </c>
      <c r="B49" s="94">
        <f>+B5/'[5]manip_POP_AC'!P6</f>
        <v>0.715228808799376</v>
      </c>
      <c r="C49" s="94">
        <f>+C5/'[5]manip_POP_AC'!C6</f>
        <v>0.49311768754301444</v>
      </c>
      <c r="D49" s="94">
        <f>+D5/'[5]manip_POP_AC'!D6</f>
        <v>0</v>
      </c>
      <c r="E49" s="94">
        <f>+E5/'[5]manip_POP_AC'!E6</f>
        <v>0.9119945961594133</v>
      </c>
      <c r="F49" s="94">
        <f>+F5/'[5]manip_POP_AC'!F6</f>
        <v>0.6530872056015277</v>
      </c>
      <c r="G49" s="94">
        <f>+G5/'[5]manip_POP_AC'!G6</f>
        <v>0.749831162566329</v>
      </c>
      <c r="H49" s="94">
        <f>+H5/'[5]manip_POP_AC'!H6</f>
        <v>0.8975175047740294</v>
      </c>
      <c r="I49" s="94">
        <f>+I5/'[5]manip_POP_AC'!I6</f>
        <v>0.5392262224610425</v>
      </c>
      <c r="J49" s="94">
        <f>+J5/'[5]manip_POP_AC'!J6</f>
        <v>0</v>
      </c>
      <c r="K49" s="94">
        <f>+K5/'[5]manip_POP_AC'!K6</f>
        <v>0.6880594352393045</v>
      </c>
      <c r="L49" s="94">
        <f>+L5/'[5]manip_POP_AC'!L6</f>
        <v>0.4889903908303529</v>
      </c>
      <c r="M49" s="94">
        <f>+M5/'[5]manip_POP_AC'!M6</f>
        <v>0.6927881885292447</v>
      </c>
      <c r="N49" s="94">
        <f>+N5/'[5]manip_POP_AC'!N6</f>
        <v>0.5985686402081978</v>
      </c>
      <c r="O49" s="94">
        <f>+O5/'[5]manip_POP_AC'!O6</f>
        <v>0.15016924995546055</v>
      </c>
      <c r="P49" s="94"/>
    </row>
    <row r="50" spans="1:16" ht="11.25">
      <c r="A50" s="5">
        <v>1991</v>
      </c>
      <c r="B50" s="94">
        <f>+B6/'[5]manip_POP_AC'!P7</f>
        <v>0.7094679535479317</v>
      </c>
      <c r="C50" s="94">
        <f>+C6/'[5]manip_POP_AC'!C7</f>
        <v>0.4980305838739574</v>
      </c>
      <c r="D50" s="94">
        <f>+D6/'[5]manip_POP_AC'!D7</f>
        <v>0</v>
      </c>
      <c r="E50" s="94">
        <f>+E6/'[5]manip_POP_AC'!E7</f>
        <v>0.9170627606945387</v>
      </c>
      <c r="F50" s="94">
        <f>+F6/'[5]manip_POP_AC'!F7</f>
        <v>0.6551724137931034</v>
      </c>
      <c r="G50" s="94">
        <f>+G6/'[5]manip_POP_AC'!G7</f>
        <v>0.7506282621302919</v>
      </c>
      <c r="H50" s="94">
        <f>+H6/'[5]manip_POP_AC'!H7</f>
        <v>0.900450788880541</v>
      </c>
      <c r="I50" s="94">
        <f>+I6/'[5]manip_POP_AC'!I7</f>
        <v>0.5363442009620524</v>
      </c>
      <c r="J50" s="94">
        <f>+J6/'[5]manip_POP_AC'!J7</f>
        <v>0</v>
      </c>
      <c r="K50" s="94">
        <f>+K6/'[5]manip_POP_AC'!K7</f>
        <v>0.6758636558554978</v>
      </c>
      <c r="L50" s="94">
        <f>+L6/'[5]manip_POP_AC'!L7</f>
        <v>0.49018762130687943</v>
      </c>
      <c r="M50" s="94">
        <f>+M6/'[5]manip_POP_AC'!M7</f>
        <v>0.6929774749195533</v>
      </c>
      <c r="N50" s="94">
        <f>+N6/'[5]manip_POP_AC'!N7</f>
        <v>0.5999900084927812</v>
      </c>
      <c r="O50" s="94">
        <f>+O6/'[5]manip_POP_AC'!O7</f>
        <v>0.14781495510662176</v>
      </c>
      <c r="P50" s="94"/>
    </row>
    <row r="51" spans="1:16" ht="11.25">
      <c r="A51" s="5">
        <v>1992</v>
      </c>
      <c r="B51" s="94">
        <f>+B7/'[5]manip_POP_AC'!P8</f>
        <v>0.6996936727018912</v>
      </c>
      <c r="C51" s="94">
        <f>+C7/'[5]manip_POP_AC'!C8</f>
        <v>0.5028103044496487</v>
      </c>
      <c r="D51" s="94">
        <f>+D7/'[5]manip_POP_AC'!D8</f>
        <v>0</v>
      </c>
      <c r="E51" s="94">
        <f>+E7/'[5]manip_POP_AC'!E8</f>
        <v>0.9148090715254894</v>
      </c>
      <c r="F51" s="94">
        <f>+F7/'[5]manip_POP_AC'!F8</f>
        <v>0.6594018505209042</v>
      </c>
      <c r="G51" s="94">
        <f>+G7/'[5]manip_POP_AC'!G8</f>
        <v>0.7465129794653235</v>
      </c>
      <c r="H51" s="94">
        <f>+H7/'[5]manip_POP_AC'!H8</f>
        <v>0.9141337386018237</v>
      </c>
      <c r="I51" s="94">
        <f>+I7/'[5]manip_POP_AC'!I8</f>
        <v>0.5349545697487974</v>
      </c>
      <c r="J51" s="94">
        <f>+J7/'[5]manip_POP_AC'!J8</f>
        <v>0</v>
      </c>
      <c r="K51" s="94">
        <f>+K7/'[5]manip_POP_AC'!K8</f>
        <v>0.658261370478591</v>
      </c>
      <c r="L51" s="94">
        <f>+L7/'[5]manip_POP_AC'!L8</f>
        <v>0.5015577690991267</v>
      </c>
      <c r="M51" s="94">
        <f>+M7/'[5]manip_POP_AC'!M8</f>
        <v>0.6899086026571186</v>
      </c>
      <c r="N51" s="94">
        <f>+N7/'[5]manip_POP_AC'!N8</f>
        <v>0.6015225884002805</v>
      </c>
      <c r="O51" s="94">
        <f>+O7/'[5]manip_POP_AC'!O8</f>
        <v>0.14555814555814556</v>
      </c>
      <c r="P51" s="94"/>
    </row>
    <row r="52" spans="1:16" ht="11.25">
      <c r="A52" s="5">
        <v>1993</v>
      </c>
      <c r="B52" s="94">
        <f>+B8/'[5]manip_POP_AC'!P9</f>
        <v>0.695606626489543</v>
      </c>
      <c r="C52" s="94">
        <f>+C8/'[5]manip_POP_AC'!C9</f>
        <v>0.5068460812086875</v>
      </c>
      <c r="D52" s="94">
        <f>+D8/'[5]manip_POP_AC'!D9</f>
        <v>0</v>
      </c>
      <c r="E52" s="94">
        <f>+E8/'[5]manip_POP_AC'!E9</f>
        <v>0.9138515148581938</v>
      </c>
      <c r="F52" s="94">
        <f>+F8/'[5]manip_POP_AC'!F9</f>
        <v>0.6750164798945286</v>
      </c>
      <c r="G52" s="94">
        <f>+G8/'[5]manip_POP_AC'!G9</f>
        <v>0.7488828443753643</v>
      </c>
      <c r="H52" s="94">
        <f>+H8/'[5]manip_POP_AC'!H9</f>
        <v>0.9331013147718484</v>
      </c>
      <c r="I52" s="94">
        <f>+I8/'[5]manip_POP_AC'!I9</f>
        <v>0.5366756032171581</v>
      </c>
      <c r="J52" s="94">
        <f>+J8/'[5]manip_POP_AC'!J9</f>
        <v>0</v>
      </c>
      <c r="K52" s="94">
        <f>+K8/'[5]manip_POP_AC'!K9</f>
        <v>0.6481187758392054</v>
      </c>
      <c r="L52" s="94">
        <f>+L8/'[5]manip_POP_AC'!L9</f>
        <v>0.5001098659635245</v>
      </c>
      <c r="M52" s="94">
        <f>+M8/'[5]manip_POP_AC'!M9</f>
        <v>0.6875633850430078</v>
      </c>
      <c r="N52" s="94">
        <f>+N8/'[5]manip_POP_AC'!N9</f>
        <v>0.610636567012406</v>
      </c>
      <c r="O52" s="94">
        <f>+O8/'[5]manip_POP_AC'!O9</f>
        <v>0.14334784383077132</v>
      </c>
      <c r="P52" s="94"/>
    </row>
    <row r="53" spans="1:16" ht="11.25">
      <c r="A53" s="5">
        <v>1994</v>
      </c>
      <c r="B53" s="94">
        <f>+B9/'[5]manip_POP_AC'!P10</f>
        <v>0.6862293578931414</v>
      </c>
      <c r="C53" s="94">
        <f>+C9/'[5]manip_POP_AC'!C10</f>
        <v>0.5087136929460581</v>
      </c>
      <c r="D53" s="94">
        <f>+D9/'[5]manip_POP_AC'!D10</f>
        <v>0</v>
      </c>
      <c r="E53" s="94">
        <f>+E9/'[5]manip_POP_AC'!E10</f>
        <v>0.9070239938080495</v>
      </c>
      <c r="F53" s="94">
        <f>+F9/'[5]manip_POP_AC'!F10</f>
        <v>0.6831220813875917</v>
      </c>
      <c r="G53" s="94">
        <f>+G9/'[5]manip_POP_AC'!G10</f>
        <v>0.7518760354741253</v>
      </c>
      <c r="H53" s="94">
        <f>+H9/'[5]manip_POP_AC'!H10</f>
        <v>0.9470172684458399</v>
      </c>
      <c r="I53" s="94">
        <f>+I9/'[5]manip_POP_AC'!I10</f>
        <v>0.5379736629938189</v>
      </c>
      <c r="J53" s="94">
        <f>+J9/'[5]manip_POP_AC'!J10</f>
        <v>0</v>
      </c>
      <c r="K53" s="94">
        <f>+K9/'[5]manip_POP_AC'!K10</f>
        <v>0.6307921418860719</v>
      </c>
      <c r="L53" s="94">
        <f>+L9/'[5]manip_POP_AC'!L10</f>
        <v>0.5003739386740574</v>
      </c>
      <c r="M53" s="94">
        <f>+M9/'[5]manip_POP_AC'!M10</f>
        <v>0.6846445869878256</v>
      </c>
      <c r="N53" s="94">
        <f>+N9/'[5]manip_POP_AC'!N10</f>
        <v>0.6038513751319825</v>
      </c>
      <c r="O53" s="94">
        <f>+O9/'[5]manip_POP_AC'!O10</f>
        <v>0.1415531996851396</v>
      </c>
      <c r="P53" s="94"/>
    </row>
    <row r="54" spans="1:16" ht="11.25">
      <c r="A54" s="5">
        <v>1995</v>
      </c>
      <c r="B54" s="94">
        <f>+B10/'[5]manip_POP_AC'!P11</f>
        <v>0.6803992337583917</v>
      </c>
      <c r="C54" s="94">
        <f>+C10/'[5]manip_POP_AC'!C11</f>
        <v>0.5110714285714286</v>
      </c>
      <c r="D54" s="94">
        <f>+D10/'[5]manip_POP_AC'!D11</f>
        <v>0</v>
      </c>
      <c r="E54" s="94">
        <f>+E10/'[5]manip_POP_AC'!E11</f>
        <v>0.9028167650759849</v>
      </c>
      <c r="F54" s="94">
        <f>+F10/'[5]manip_POP_AC'!F11</f>
        <v>0.6920000000000001</v>
      </c>
      <c r="G54" s="94">
        <f>+G10/'[5]manip_POP_AC'!G11</f>
        <v>0.7460410557184751</v>
      </c>
      <c r="H54" s="94">
        <f>+H10/'[5]manip_POP_AC'!H11</f>
        <v>0.9590620031796503</v>
      </c>
      <c r="I54" s="94">
        <f>+I10/'[5]manip_POP_AC'!I11</f>
        <v>0.538842530282638</v>
      </c>
      <c r="J54" s="94">
        <f>+J10/'[5]manip_POP_AC'!J11</f>
        <v>0</v>
      </c>
      <c r="K54" s="94">
        <f>+K10/'[5]manip_POP_AC'!K11</f>
        <v>0.6215986482704289</v>
      </c>
      <c r="L54" s="94">
        <f>+L10/'[5]manip_POP_AC'!L11</f>
        <v>0.5015651867201623</v>
      </c>
      <c r="M54" s="94">
        <f>+M10/'[5]manip_POP_AC'!M11</f>
        <v>0.683299525698774</v>
      </c>
      <c r="N54" s="94">
        <f>+N10/'[5]manip_POP_AC'!N11</f>
        <v>0.6035175879396985</v>
      </c>
      <c r="O54" s="94">
        <f>+O10/'[5]manip_POP_AC'!O11</f>
        <v>0.14104700466911946</v>
      </c>
      <c r="P54" s="94"/>
    </row>
    <row r="55" spans="1:16" ht="11.25">
      <c r="A55" s="5">
        <v>1996</v>
      </c>
      <c r="B55" s="94">
        <f>+B11/'[5]manip_POP_AC'!P12</f>
        <v>0.6746416238766118</v>
      </c>
      <c r="C55" s="94">
        <f>+C11/'[5]manip_POP_AC'!C12</f>
        <v>0.513762565820967</v>
      </c>
      <c r="D55" s="94">
        <f>+D11/'[5]manip_POP_AC'!D12</f>
        <v>0</v>
      </c>
      <c r="E55" s="94">
        <f>+E11/'[5]manip_POP_AC'!E12</f>
        <v>0.9142026175472613</v>
      </c>
      <c r="F55" s="94">
        <f>+F11/'[5]manip_POP_AC'!F12</f>
        <v>0.7033852137394578</v>
      </c>
      <c r="G55" s="94">
        <f>+G11/'[5]manip_POP_AC'!G12</f>
        <v>0.7474737564995585</v>
      </c>
      <c r="H55" s="94">
        <f>+H11/'[5]manip_POP_AC'!H12</f>
        <v>0.9686872741870735</v>
      </c>
      <c r="I55" s="94">
        <f>+I11/'[5]manip_POP_AC'!I12</f>
        <v>0.5383661364249124</v>
      </c>
      <c r="J55" s="94">
        <f>+J11/'[5]manip_POP_AC'!J12</f>
        <v>0</v>
      </c>
      <c r="K55" s="94">
        <f>+K11/'[5]manip_POP_AC'!K12</f>
        <v>0.6064529494018334</v>
      </c>
      <c r="L55" s="94">
        <f>+L11/'[5]manip_POP_AC'!L12</f>
        <v>0.5035828025477707</v>
      </c>
      <c r="M55" s="94">
        <f>+M11/'[5]manip_POP_AC'!M12</f>
        <v>0.6835027047949399</v>
      </c>
      <c r="N55" s="94">
        <f>+N11/'[5]manip_POP_AC'!N12</f>
        <v>0.6032144650929181</v>
      </c>
      <c r="O55" s="94">
        <f>+O11/'[5]manip_POP_AC'!O12</f>
        <v>0.13988753088024963</v>
      </c>
      <c r="P55" s="94"/>
    </row>
    <row r="56" spans="1:16" ht="11.25">
      <c r="A56" s="5">
        <v>1997</v>
      </c>
      <c r="B56" s="94">
        <f>+B12/'[5]manip_POP_AC'!P13</f>
        <v>0.6735176301548766</v>
      </c>
      <c r="C56" s="94">
        <f>+C12/'[5]manip_POP_AC'!C13</f>
        <v>0.5162372309184114</v>
      </c>
      <c r="D56" s="94">
        <f>+D12/'[5]manip_POP_AC'!D13</f>
        <v>0</v>
      </c>
      <c r="E56" s="94">
        <f>+E12/'[5]manip_POP_AC'!E13</f>
        <v>0.9151696897351539</v>
      </c>
      <c r="F56" s="94">
        <f>+F12/'[5]manip_POP_AC'!F13</f>
        <v>0.713304745088147</v>
      </c>
      <c r="G56" s="94">
        <f>+G12/'[5]manip_POP_AC'!G13</f>
        <v>0.7477178504958197</v>
      </c>
      <c r="H56" s="94">
        <f>+H12/'[5]manip_POP_AC'!H13</f>
        <v>0.9773187525313892</v>
      </c>
      <c r="I56" s="94">
        <f>+I12/'[5]manip_POP_AC'!I13</f>
        <v>0.5389695028322076</v>
      </c>
      <c r="J56" s="94">
        <f>+J12/'[5]manip_POP_AC'!J13</f>
        <v>0</v>
      </c>
      <c r="K56" s="94">
        <f>+K12/'[5]manip_POP_AC'!K13</f>
        <v>0.6035705045278137</v>
      </c>
      <c r="L56" s="94">
        <f>+L12/'[5]manip_POP_AC'!L13</f>
        <v>0.5045668174159794</v>
      </c>
      <c r="M56" s="94">
        <f>+M12/'[5]manip_POP_AC'!M13</f>
        <v>0.6823041185310679</v>
      </c>
      <c r="N56" s="94">
        <f>+N12/'[5]manip_POP_AC'!N13</f>
        <v>0.604745312090878</v>
      </c>
      <c r="O56" s="94">
        <f>+O12/'[5]manip_POP_AC'!O13</f>
        <v>0.13781122408133856</v>
      </c>
      <c r="P56" s="94"/>
    </row>
    <row r="57" spans="1:16" ht="11.25">
      <c r="A57" s="5">
        <v>1998</v>
      </c>
      <c r="B57" s="94">
        <f>+B13/'[5]manip_POP_AC'!P14</f>
        <v>0.6724217464967087</v>
      </c>
      <c r="C57" s="94">
        <f>+C13/'[5]manip_POP_AC'!C14</f>
        <v>0.5195591619232167</v>
      </c>
      <c r="D57" s="94">
        <f>+D13/'[5]manip_POP_AC'!D14</f>
        <v>0</v>
      </c>
      <c r="E57" s="94">
        <f>+E13/'[5]manip_POP_AC'!E14</f>
        <v>0.9159875278050297</v>
      </c>
      <c r="F57" s="94">
        <f>+F13/'[5]manip_POP_AC'!F14</f>
        <v>0.6884632618080695</v>
      </c>
      <c r="G57" s="94">
        <f>+G13/'[5]manip_POP_AC'!G14</f>
        <v>0.755586315997627</v>
      </c>
      <c r="H57" s="94">
        <f>+H13/'[5]manip_POP_AC'!H14</f>
        <v>0.9853001224989791</v>
      </c>
      <c r="I57" s="94">
        <f>+I13/'[5]manip_POP_AC'!I14</f>
        <v>0.539292465568458</v>
      </c>
      <c r="J57" s="94">
        <f>+J13/'[5]manip_POP_AC'!J14</f>
        <v>0</v>
      </c>
      <c r="K57" s="94">
        <f>+K13/'[5]manip_POP_AC'!K14</f>
        <v>0.6002666104452287</v>
      </c>
      <c r="L57" s="94">
        <f>+L13/'[5]manip_POP_AC'!L14</f>
        <v>0.4892680975869884</v>
      </c>
      <c r="M57" s="94">
        <f>+M13/'[5]manip_POP_AC'!M14</f>
        <v>0.6798796436799946</v>
      </c>
      <c r="N57" s="94">
        <f>+N13/'[5]manip_POP_AC'!N14</f>
        <v>0.6057702007464946</v>
      </c>
      <c r="O57" s="94">
        <f>+O13/'[5]manip_POP_AC'!O14</f>
        <v>0.135776372040195</v>
      </c>
      <c r="P57" s="94"/>
    </row>
    <row r="58" spans="1:16" ht="11.25">
      <c r="A58" s="5">
        <v>1999</v>
      </c>
      <c r="B58" s="94">
        <f>+B14/'[5]manip_POP_AC'!P15</f>
        <v>0.6683420762913452</v>
      </c>
      <c r="C58" s="94">
        <f>+C14/'[5]manip_POP_AC'!C15</f>
        <v>0.5226608187134503</v>
      </c>
      <c r="D58" s="94">
        <f>+D14/'[5]manip_POP_AC'!D15</f>
        <v>0</v>
      </c>
      <c r="E58" s="94">
        <f>+E14/'[5]manip_POP_AC'!E15</f>
        <v>0.9188397167591927</v>
      </c>
      <c r="F58" s="94">
        <f>+F14/'[5]manip_POP_AC'!F15</f>
        <v>0.6980752450114303</v>
      </c>
      <c r="G58" s="94">
        <f>+G14/'[5]manip_POP_AC'!G15</f>
        <v>0.759932459276917</v>
      </c>
      <c r="H58" s="94">
        <f>+H14/'[5]manip_POP_AC'!H15</f>
        <v>1.0012448132780083</v>
      </c>
      <c r="I58" s="94">
        <f>+I14/'[5]manip_POP_AC'!I15</f>
        <v>0.5150040551500406</v>
      </c>
      <c r="J58" s="94">
        <f>+J14/'[5]manip_POP_AC'!J15</f>
        <v>0</v>
      </c>
      <c r="K58" s="94">
        <f>+K14/'[5]manip_POP_AC'!K15</f>
        <v>0.5922026180990324</v>
      </c>
      <c r="L58" s="94">
        <f>+L14/'[5]manip_POP_AC'!L15</f>
        <v>0.48895738220562035</v>
      </c>
      <c r="M58" s="94">
        <f>+M14/'[5]manip_POP_AC'!M15</f>
        <v>0.6793176055398212</v>
      </c>
      <c r="N58" s="94">
        <f>+N14/'[5]manip_POP_AC'!N15</f>
        <v>0.6048854192898514</v>
      </c>
      <c r="O58" s="94">
        <f>+O14/'[5]manip_POP_AC'!O15</f>
        <v>0.1349456766712778</v>
      </c>
      <c r="P58" s="94"/>
    </row>
    <row r="59" spans="1:16" ht="11.25">
      <c r="A59" s="5">
        <v>2000</v>
      </c>
      <c r="B59" s="94">
        <f>+B15/'[5]manip_POP_AC'!P16</f>
        <v>0.6640946131968929</v>
      </c>
      <c r="C59" s="94">
        <f>+C15/'[5]manip_POP_AC'!C16</f>
        <v>0.5289605924358636</v>
      </c>
      <c r="D59" s="94">
        <f>+D15/'[5]manip_POP_AC'!D16</f>
        <v>0</v>
      </c>
      <c r="E59" s="94">
        <f>+E15/'[5]manip_POP_AC'!E16</f>
        <v>0.9192761819473783</v>
      </c>
      <c r="F59" s="94">
        <f>+F15/'[5]manip_POP_AC'!F16</f>
        <v>0.7070854638422206</v>
      </c>
      <c r="G59" s="94">
        <f>+G15/'[5]manip_POP_AC'!G16</f>
        <v>0.7662143284773498</v>
      </c>
      <c r="H59" s="94">
        <f>+H15/'[5]manip_POP_AC'!H16</f>
        <v>0.9827150084317032</v>
      </c>
      <c r="I59" s="94">
        <f>+I15/'[5]manip_POP_AC'!I16</f>
        <v>0.5154803788903924</v>
      </c>
      <c r="J59" s="94">
        <f>+J15/'[5]manip_POP_AC'!J16</f>
        <v>0</v>
      </c>
      <c r="K59" s="94">
        <f>+K15/'[5]manip_POP_AC'!K16</f>
        <v>0.583699870633894</v>
      </c>
      <c r="L59" s="94">
        <f>+L15/'[5]manip_POP_AC'!L16</f>
        <v>0.49097392467127254</v>
      </c>
      <c r="M59" s="94">
        <f>+M15/'[5]manip_POP_AC'!M16</f>
        <v>0.678478800545745</v>
      </c>
      <c r="N59" s="94">
        <f>+N15/'[5]manip_POP_AC'!N16</f>
        <v>0.6041247484909457</v>
      </c>
      <c r="O59" s="94">
        <f>+O15/'[5]manip_POP_AC'!O16</f>
        <v>0.13280137227574165</v>
      </c>
      <c r="P59" s="94"/>
    </row>
    <row r="60" spans="1:16" ht="11.25">
      <c r="A60" s="5"/>
      <c r="B60" s="94"/>
      <c r="C60" s="94"/>
      <c r="D60" s="94"/>
      <c r="E60" s="94"/>
      <c r="F60" s="94"/>
      <c r="G60" s="94"/>
      <c r="H60" s="94"/>
      <c r="I60" s="94"/>
      <c r="J60" s="94"/>
      <c r="K60" s="94"/>
      <c r="L60" s="94"/>
      <c r="M60" s="94"/>
      <c r="N60" s="94"/>
      <c r="O60" s="94"/>
      <c r="P60" s="94"/>
    </row>
    <row r="61" ht="11.25">
      <c r="A61" s="3" t="s">
        <v>239</v>
      </c>
    </row>
    <row r="62" ht="11.25">
      <c r="A62" s="23" t="s">
        <v>27</v>
      </c>
    </row>
    <row r="64" spans="2:15" ht="11.25">
      <c r="B64" s="19" t="s">
        <v>28</v>
      </c>
      <c r="C64" s="35" t="s">
        <v>0</v>
      </c>
      <c r="D64" s="35" t="s">
        <v>29</v>
      </c>
      <c r="E64" s="35" t="s">
        <v>1</v>
      </c>
      <c r="F64" s="35" t="s">
        <v>2</v>
      </c>
      <c r="G64" s="35" t="s">
        <v>3</v>
      </c>
      <c r="H64" s="35" t="s">
        <v>4</v>
      </c>
      <c r="I64" s="35" t="s">
        <v>5</v>
      </c>
      <c r="J64" s="35" t="s">
        <v>30</v>
      </c>
      <c r="K64" s="35" t="s">
        <v>6</v>
      </c>
      <c r="L64" s="35" t="s">
        <v>7</v>
      </c>
      <c r="M64" s="35" t="s">
        <v>8</v>
      </c>
      <c r="N64" s="35" t="s">
        <v>9</v>
      </c>
      <c r="O64" s="21" t="s">
        <v>31</v>
      </c>
    </row>
    <row r="65" spans="1:15" ht="11.25">
      <c r="A65" s="34">
        <v>1990</v>
      </c>
      <c r="B65" s="121">
        <f>IF(COUNT(C65:O65)=11,SUM(C65:O65),":")</f>
        <v>25492</v>
      </c>
      <c r="C65" s="121">
        <v>2640</v>
      </c>
      <c r="D65" s="122" t="s">
        <v>240</v>
      </c>
      <c r="E65" s="121">
        <v>2579</v>
      </c>
      <c r="F65" s="1">
        <v>132</v>
      </c>
      <c r="G65" s="121">
        <v>2249</v>
      </c>
      <c r="H65" s="121">
        <v>271</v>
      </c>
      <c r="I65" s="121">
        <v>122</v>
      </c>
      <c r="J65" s="122" t="s">
        <v>240</v>
      </c>
      <c r="K65" s="121">
        <v>11387</v>
      </c>
      <c r="L65" s="121">
        <v>3680</v>
      </c>
      <c r="M65" s="121">
        <v>1330</v>
      </c>
      <c r="N65" s="121">
        <v>499</v>
      </c>
      <c r="O65" s="121">
        <v>603</v>
      </c>
    </row>
    <row r="66" spans="1:15" ht="11.25">
      <c r="A66" s="34">
        <v>1991</v>
      </c>
      <c r="B66" s="121">
        <f aca="true" t="shared" si="4" ref="B66:B74">IF(COUNT(C66:O66)=11,SUM(C66:O66),":")</f>
        <v>25738</v>
      </c>
      <c r="C66" s="121">
        <v>2640</v>
      </c>
      <c r="D66" s="122" t="s">
        <v>240</v>
      </c>
      <c r="E66" s="121">
        <v>2597</v>
      </c>
      <c r="F66" s="1">
        <v>132</v>
      </c>
      <c r="G66" s="121">
        <v>2247</v>
      </c>
      <c r="H66" s="121">
        <v>271</v>
      </c>
      <c r="I66" s="121">
        <v>122</v>
      </c>
      <c r="J66" s="122" t="s">
        <v>240</v>
      </c>
      <c r="K66" s="121">
        <v>11510</v>
      </c>
      <c r="L66" s="121">
        <v>3680</v>
      </c>
      <c r="M66" s="121">
        <v>1373</v>
      </c>
      <c r="N66" s="121">
        <v>499</v>
      </c>
      <c r="O66" s="121">
        <v>667</v>
      </c>
    </row>
    <row r="67" spans="1:15" ht="11.25">
      <c r="A67" s="34">
        <v>1992</v>
      </c>
      <c r="B67" s="121">
        <f t="shared" si="4"/>
        <v>26099</v>
      </c>
      <c r="C67" s="121">
        <v>2650</v>
      </c>
      <c r="D67" s="122" t="s">
        <v>240</v>
      </c>
      <c r="E67" s="121">
        <v>2593</v>
      </c>
      <c r="F67" s="1">
        <v>131</v>
      </c>
      <c r="G67" s="121">
        <v>2277</v>
      </c>
      <c r="H67" s="121">
        <v>271</v>
      </c>
      <c r="I67" s="121">
        <v>122</v>
      </c>
      <c r="J67" s="122" t="s">
        <v>240</v>
      </c>
      <c r="K67" s="121">
        <v>11496</v>
      </c>
      <c r="L67" s="121">
        <v>3782</v>
      </c>
      <c r="M67" s="121">
        <v>1373</v>
      </c>
      <c r="N67" s="121">
        <v>499</v>
      </c>
      <c r="O67" s="121">
        <v>905</v>
      </c>
    </row>
    <row r="68" spans="1:15" ht="11.25">
      <c r="A68" s="34">
        <v>1993</v>
      </c>
      <c r="B68" s="121">
        <f t="shared" si="4"/>
        <v>26216</v>
      </c>
      <c r="C68" s="121">
        <v>2650</v>
      </c>
      <c r="D68" s="122" t="s">
        <v>240</v>
      </c>
      <c r="E68" s="121">
        <v>2706</v>
      </c>
      <c r="F68" s="1">
        <v>131</v>
      </c>
      <c r="G68" s="121">
        <v>2277</v>
      </c>
      <c r="H68" s="121">
        <v>271</v>
      </c>
      <c r="I68" s="121">
        <v>122</v>
      </c>
      <c r="J68" s="122" t="s">
        <v>240</v>
      </c>
      <c r="K68" s="121">
        <v>11482</v>
      </c>
      <c r="L68" s="121">
        <v>3758</v>
      </c>
      <c r="M68" s="121">
        <v>1415</v>
      </c>
      <c r="N68" s="121">
        <v>499</v>
      </c>
      <c r="O68" s="121">
        <v>905</v>
      </c>
    </row>
    <row r="69" spans="1:15" ht="11.25">
      <c r="A69" s="34">
        <v>1994</v>
      </c>
      <c r="B69" s="121">
        <f t="shared" si="4"/>
        <v>26659</v>
      </c>
      <c r="C69" s="121">
        <v>2645</v>
      </c>
      <c r="D69" s="122" t="s">
        <v>240</v>
      </c>
      <c r="E69" s="121">
        <v>2706</v>
      </c>
      <c r="F69" s="1">
        <v>131</v>
      </c>
      <c r="G69" s="121">
        <v>2283</v>
      </c>
      <c r="H69" s="121">
        <v>271</v>
      </c>
      <c r="I69" s="121">
        <v>122</v>
      </c>
      <c r="J69" s="122" t="s">
        <v>240</v>
      </c>
      <c r="K69" s="121">
        <v>11613</v>
      </c>
      <c r="L69" s="121">
        <v>3866</v>
      </c>
      <c r="M69" s="121">
        <v>1430</v>
      </c>
      <c r="N69" s="121">
        <v>499</v>
      </c>
      <c r="O69" s="121">
        <v>1093</v>
      </c>
    </row>
    <row r="70" spans="1:15" ht="11.25">
      <c r="A70" s="34">
        <v>1995</v>
      </c>
      <c r="B70" s="121">
        <f t="shared" si="4"/>
        <v>26730</v>
      </c>
      <c r="C70" s="121">
        <v>2656</v>
      </c>
      <c r="D70" s="122" t="s">
        <v>240</v>
      </c>
      <c r="E70" s="121">
        <v>2640</v>
      </c>
      <c r="F70" s="1">
        <v>131</v>
      </c>
      <c r="G70" s="121">
        <v>2353</v>
      </c>
      <c r="H70" s="121">
        <v>271</v>
      </c>
      <c r="I70" s="121">
        <v>122</v>
      </c>
      <c r="J70" s="122" t="s">
        <v>240</v>
      </c>
      <c r="K70" s="121">
        <v>11627</v>
      </c>
      <c r="L70" s="121">
        <v>3866</v>
      </c>
      <c r="M70" s="121">
        <v>1472</v>
      </c>
      <c r="N70" s="121">
        <v>499</v>
      </c>
      <c r="O70" s="121">
        <v>1093</v>
      </c>
    </row>
    <row r="71" spans="1:15" ht="11.25">
      <c r="A71" s="34">
        <v>1996</v>
      </c>
      <c r="B71" s="121">
        <f t="shared" si="4"/>
        <v>27683</v>
      </c>
      <c r="C71" s="121">
        <v>2710</v>
      </c>
      <c r="D71" s="122" t="s">
        <v>240</v>
      </c>
      <c r="E71" s="121">
        <v>2743</v>
      </c>
      <c r="F71" s="1">
        <v>131</v>
      </c>
      <c r="G71" s="121">
        <v>2353</v>
      </c>
      <c r="H71" s="121">
        <v>271</v>
      </c>
      <c r="I71" s="121">
        <v>122</v>
      </c>
      <c r="J71" s="122" t="s">
        <v>240</v>
      </c>
      <c r="K71" s="121">
        <v>11626</v>
      </c>
      <c r="L71" s="121">
        <v>3888</v>
      </c>
      <c r="M71" s="121">
        <v>1516</v>
      </c>
      <c r="N71" s="121">
        <v>499</v>
      </c>
      <c r="O71" s="121">
        <v>1824</v>
      </c>
    </row>
    <row r="72" spans="1:15" ht="11.25">
      <c r="A72" s="34">
        <v>1997</v>
      </c>
      <c r="B72" s="121">
        <f t="shared" si="4"/>
        <v>27762</v>
      </c>
      <c r="C72" s="121">
        <v>2711</v>
      </c>
      <c r="D72" s="122" t="s">
        <v>240</v>
      </c>
      <c r="E72" s="121">
        <v>2859</v>
      </c>
      <c r="F72" s="1">
        <v>131</v>
      </c>
      <c r="G72" s="121">
        <v>2378</v>
      </c>
      <c r="H72" s="121">
        <v>271</v>
      </c>
      <c r="I72" s="121">
        <v>122</v>
      </c>
      <c r="J72" s="122" t="s">
        <v>240</v>
      </c>
      <c r="K72" s="121">
        <v>11626</v>
      </c>
      <c r="L72" s="121">
        <v>3943</v>
      </c>
      <c r="M72" s="121">
        <v>1516</v>
      </c>
      <c r="N72" s="121">
        <v>499</v>
      </c>
      <c r="O72" s="121">
        <v>1706</v>
      </c>
    </row>
    <row r="73" spans="1:15" ht="11.25">
      <c r="A73" s="34">
        <v>1998</v>
      </c>
      <c r="B73" s="121">
        <f t="shared" si="4"/>
        <v>27967</v>
      </c>
      <c r="C73" s="121">
        <v>2708</v>
      </c>
      <c r="D73" s="122" t="s">
        <v>240</v>
      </c>
      <c r="E73" s="121">
        <v>2859</v>
      </c>
      <c r="F73" s="1">
        <v>131</v>
      </c>
      <c r="G73" s="121">
        <v>2594</v>
      </c>
      <c r="H73" s="121">
        <v>270</v>
      </c>
      <c r="I73" s="121">
        <v>122</v>
      </c>
      <c r="J73" s="122" t="s">
        <v>240</v>
      </c>
      <c r="K73" s="121">
        <v>11614</v>
      </c>
      <c r="L73" s="121">
        <v>3929</v>
      </c>
      <c r="M73" s="121">
        <v>1535</v>
      </c>
      <c r="N73" s="121">
        <v>499</v>
      </c>
      <c r="O73" s="121">
        <v>1706</v>
      </c>
    </row>
    <row r="74" spans="1:15" ht="11.25">
      <c r="A74" s="34">
        <v>1999</v>
      </c>
      <c r="B74" s="121">
        <f t="shared" si="4"/>
        <v>28394</v>
      </c>
      <c r="C74" s="121">
        <v>2708</v>
      </c>
      <c r="D74" s="122" t="s">
        <v>240</v>
      </c>
      <c r="E74" s="121">
        <v>2843</v>
      </c>
      <c r="F74" s="1">
        <v>132</v>
      </c>
      <c r="G74" s="121">
        <v>2620</v>
      </c>
      <c r="H74" s="121">
        <v>258</v>
      </c>
      <c r="I74" s="121">
        <v>122</v>
      </c>
      <c r="J74" s="122" t="s">
        <v>240</v>
      </c>
      <c r="K74" s="121">
        <v>11967</v>
      </c>
      <c r="L74" s="121">
        <v>3942</v>
      </c>
      <c r="M74" s="121">
        <v>1535</v>
      </c>
      <c r="N74" s="121">
        <v>504</v>
      </c>
      <c r="O74" s="121">
        <v>1763</v>
      </c>
    </row>
    <row r="76" ht="11.25">
      <c r="A76" s="3" t="s">
        <v>241</v>
      </c>
    </row>
    <row r="78" spans="2:15" ht="11.25">
      <c r="B78" s="19" t="s">
        <v>28</v>
      </c>
      <c r="C78" s="35" t="s">
        <v>0</v>
      </c>
      <c r="D78" s="35" t="s">
        <v>29</v>
      </c>
      <c r="E78" s="35" t="s">
        <v>1</v>
      </c>
      <c r="F78" s="35" t="s">
        <v>2</v>
      </c>
      <c r="G78" s="35" t="s">
        <v>3</v>
      </c>
      <c r="H78" s="35" t="s">
        <v>4</v>
      </c>
      <c r="I78" s="35" t="s">
        <v>5</v>
      </c>
      <c r="J78" s="35" t="s">
        <v>30</v>
      </c>
      <c r="K78" s="35" t="s">
        <v>6</v>
      </c>
      <c r="L78" s="35" t="s">
        <v>7</v>
      </c>
      <c r="M78" s="35" t="s">
        <v>8</v>
      </c>
      <c r="N78" s="35" t="s">
        <v>9</v>
      </c>
      <c r="O78" s="21" t="s">
        <v>31</v>
      </c>
    </row>
    <row r="79" spans="1:15" ht="11.25">
      <c r="A79" s="34">
        <v>1990</v>
      </c>
      <c r="B79" s="123">
        <f aca="true" t="shared" si="5" ref="B79:C88">B65/B5</f>
        <v>0.47438450229823026</v>
      </c>
      <c r="C79" s="123">
        <f t="shared" si="5"/>
        <v>0.6140963014654571</v>
      </c>
      <c r="D79" s="124" t="s">
        <v>240</v>
      </c>
      <c r="E79" s="123">
        <f aca="true" t="shared" si="6" ref="E79:I88">E65/E5</f>
        <v>0.27288117659506933</v>
      </c>
      <c r="F79" s="123">
        <f t="shared" si="6"/>
        <v>0.1286549707602339</v>
      </c>
      <c r="G79" s="123">
        <f t="shared" si="6"/>
        <v>0.28937210499228</v>
      </c>
      <c r="H79" s="123">
        <f t="shared" si="6"/>
        <v>0.11305798915310805</v>
      </c>
      <c r="I79" s="123">
        <f t="shared" si="6"/>
        <v>0.060787244643746886</v>
      </c>
      <c r="J79" s="124" t="s">
        <v>240</v>
      </c>
      <c r="K79" s="123">
        <f aca="true" t="shared" si="7" ref="K79:O88">K65/K5</f>
        <v>0.4341543388744853</v>
      </c>
      <c r="L79" s="123">
        <f t="shared" si="7"/>
        <v>0.32428621783574196</v>
      </c>
      <c r="M79" s="123">
        <f t="shared" si="7"/>
        <v>0.3633879781420765</v>
      </c>
      <c r="N79" s="123">
        <f t="shared" si="7"/>
        <v>0.41722408026755853</v>
      </c>
      <c r="O79" s="123">
        <f t="shared" si="7"/>
        <v>0.07153873531854313</v>
      </c>
    </row>
    <row r="80" spans="1:15" ht="11.25">
      <c r="A80" s="34">
        <v>1991</v>
      </c>
      <c r="B80" s="123">
        <f t="shared" si="5"/>
        <v>0.4823463268365817</v>
      </c>
      <c r="C80" s="123">
        <f t="shared" si="5"/>
        <v>0.6140963014654571</v>
      </c>
      <c r="D80" s="124" t="s">
        <v>240</v>
      </c>
      <c r="E80" s="123">
        <f t="shared" si="6"/>
        <v>0.27469854030040197</v>
      </c>
      <c r="F80" s="123">
        <f t="shared" si="6"/>
        <v>0.1286549707602339</v>
      </c>
      <c r="G80" s="123">
        <f t="shared" si="6"/>
        <v>0.2893381406129282</v>
      </c>
      <c r="H80" s="123">
        <f t="shared" si="6"/>
        <v>0.11305798915310805</v>
      </c>
      <c r="I80" s="123">
        <f t="shared" si="6"/>
        <v>0.060787244643746886</v>
      </c>
      <c r="J80" s="124" t="s">
        <v>240</v>
      </c>
      <c r="K80" s="123">
        <f t="shared" si="7"/>
        <v>0.4452955741256577</v>
      </c>
      <c r="L80" s="123">
        <f t="shared" si="7"/>
        <v>0.32380114386273645</v>
      </c>
      <c r="M80" s="123">
        <f t="shared" si="7"/>
        <v>0.3750341436765911</v>
      </c>
      <c r="N80" s="123">
        <f t="shared" si="7"/>
        <v>0.4154870940882598</v>
      </c>
      <c r="O80" s="123">
        <f t="shared" si="7"/>
        <v>0.07913156958120773</v>
      </c>
    </row>
    <row r="81" spans="1:15" ht="11.25">
      <c r="A81" s="34">
        <v>1992</v>
      </c>
      <c r="B81" s="123">
        <f t="shared" si="5"/>
        <v>0.49534810450916905</v>
      </c>
      <c r="C81" s="123">
        <f t="shared" si="5"/>
        <v>0.6171401956217979</v>
      </c>
      <c r="D81" s="124" t="s">
        <v>240</v>
      </c>
      <c r="E81" s="123">
        <f t="shared" si="6"/>
        <v>0.27471130416357664</v>
      </c>
      <c r="F81" s="123">
        <f t="shared" si="6"/>
        <v>0.1286331500392773</v>
      </c>
      <c r="G81" s="123">
        <f t="shared" si="6"/>
        <v>0.2954456987154535</v>
      </c>
      <c r="H81" s="123">
        <f t="shared" si="6"/>
        <v>0.11263507896924356</v>
      </c>
      <c r="I81" s="123">
        <f t="shared" si="6"/>
        <v>0.06094514936557099</v>
      </c>
      <c r="J81" s="124" t="s">
        <v>240</v>
      </c>
      <c r="K81" s="123">
        <f t="shared" si="7"/>
        <v>0.4552150154430981</v>
      </c>
      <c r="L81" s="123">
        <f t="shared" si="7"/>
        <v>0.33088363954505684</v>
      </c>
      <c r="M81" s="123">
        <f t="shared" si="7"/>
        <v>0.3750341436765911</v>
      </c>
      <c r="N81" s="123">
        <f t="shared" si="7"/>
        <v>0.4154870940882598</v>
      </c>
      <c r="O81" s="123">
        <f t="shared" si="7"/>
        <v>0.1073546856465006</v>
      </c>
    </row>
    <row r="82" spans="1:15" ht="11.25">
      <c r="A82" s="34">
        <v>1993</v>
      </c>
      <c r="B82" s="123">
        <f t="shared" si="5"/>
        <v>0.5005269508637412</v>
      </c>
      <c r="C82" s="123">
        <f t="shared" si="5"/>
        <v>0.6171401956217979</v>
      </c>
      <c r="D82" s="124" t="s">
        <v>240</v>
      </c>
      <c r="E82" s="123">
        <f t="shared" si="6"/>
        <v>0.28662217985382904</v>
      </c>
      <c r="F82" s="123">
        <f t="shared" si="6"/>
        <v>0.1279296875</v>
      </c>
      <c r="G82" s="123">
        <f t="shared" si="6"/>
        <v>0.2953690491633156</v>
      </c>
      <c r="H82" s="123">
        <f t="shared" si="6"/>
        <v>0.11230832987981765</v>
      </c>
      <c r="I82" s="123">
        <f t="shared" si="6"/>
        <v>0.06094514936557099</v>
      </c>
      <c r="J82" s="124" t="s">
        <v>240</v>
      </c>
      <c r="K82" s="123">
        <f t="shared" si="7"/>
        <v>0.4606435047741314</v>
      </c>
      <c r="L82" s="123">
        <f t="shared" si="7"/>
        <v>0.33022847100175745</v>
      </c>
      <c r="M82" s="123">
        <f t="shared" si="7"/>
        <v>0.38650641901119914</v>
      </c>
      <c r="N82" s="123">
        <f t="shared" si="7"/>
        <v>0.4154870940882598</v>
      </c>
      <c r="O82" s="123">
        <f t="shared" si="7"/>
        <v>0.1073546856465006</v>
      </c>
    </row>
    <row r="83" spans="1:15" ht="11.25">
      <c r="A83" s="34">
        <v>1994</v>
      </c>
      <c r="B83" s="123">
        <f t="shared" si="5"/>
        <v>0.5156100712133344</v>
      </c>
      <c r="C83" s="123">
        <f t="shared" si="5"/>
        <v>0.6164064320671172</v>
      </c>
      <c r="D83" s="124" t="s">
        <v>240</v>
      </c>
      <c r="E83" s="123">
        <f t="shared" si="6"/>
        <v>0.28864</v>
      </c>
      <c r="F83" s="123">
        <f t="shared" si="6"/>
        <v>0.1279296875</v>
      </c>
      <c r="G83" s="123">
        <f t="shared" si="6"/>
        <v>0.29591704471808167</v>
      </c>
      <c r="H83" s="123">
        <f t="shared" si="6"/>
        <v>0.11230832987981765</v>
      </c>
      <c r="I83" s="123">
        <f t="shared" si="6"/>
        <v>0.06094514936557099</v>
      </c>
      <c r="J83" s="124" t="s">
        <v>240</v>
      </c>
      <c r="K83" s="123">
        <f t="shared" si="7"/>
        <v>0.4776457039443919</v>
      </c>
      <c r="L83" s="123">
        <f t="shared" si="7"/>
        <v>0.33989801301213296</v>
      </c>
      <c r="M83" s="123">
        <f t="shared" si="7"/>
        <v>0.39060366020213055</v>
      </c>
      <c r="N83" s="123">
        <f t="shared" si="7"/>
        <v>0.4154870940882598</v>
      </c>
      <c r="O83" s="123">
        <f t="shared" si="7"/>
        <v>0.1293185044959773</v>
      </c>
    </row>
    <row r="84" spans="1:15" ht="11.25">
      <c r="A84" s="34">
        <v>1995</v>
      </c>
      <c r="B84" s="123">
        <f t="shared" si="5"/>
        <v>0.5215965968407599</v>
      </c>
      <c r="C84" s="123">
        <f t="shared" si="5"/>
        <v>0.6186815746564174</v>
      </c>
      <c r="D84" s="124" t="s">
        <v>240</v>
      </c>
      <c r="E84" s="123">
        <f t="shared" si="6"/>
        <v>0.2830492119652621</v>
      </c>
      <c r="F84" s="123">
        <f t="shared" si="6"/>
        <v>0.12834329381796805</v>
      </c>
      <c r="G84" s="123">
        <f t="shared" si="6"/>
        <v>0.30830712788259956</v>
      </c>
      <c r="H84" s="123">
        <f t="shared" si="6"/>
        <v>0.11230832987981765</v>
      </c>
      <c r="I84" s="123">
        <f t="shared" si="6"/>
        <v>0.06094514936557099</v>
      </c>
      <c r="J84" s="124" t="s">
        <v>240</v>
      </c>
      <c r="K84" s="123">
        <f t="shared" si="7"/>
        <v>0.4847410989744017</v>
      </c>
      <c r="L84" s="123">
        <f t="shared" si="7"/>
        <v>0.3398382559774965</v>
      </c>
      <c r="M84" s="123">
        <f t="shared" si="7"/>
        <v>0.40163710777626194</v>
      </c>
      <c r="N84" s="123">
        <f t="shared" si="7"/>
        <v>0.4154870940882598</v>
      </c>
      <c r="O84" s="123">
        <f t="shared" si="7"/>
        <v>0.12785121066791438</v>
      </c>
    </row>
    <row r="85" spans="1:15" ht="11.25">
      <c r="A85" s="34">
        <v>1996</v>
      </c>
      <c r="B85" s="123">
        <f t="shared" si="5"/>
        <v>0.5452328805974852</v>
      </c>
      <c r="C85" s="123">
        <f t="shared" si="5"/>
        <v>0.6312601910086186</v>
      </c>
      <c r="D85" s="124" t="s">
        <v>240</v>
      </c>
      <c r="E85" s="123">
        <f t="shared" si="6"/>
        <v>0.29088016967126196</v>
      </c>
      <c r="F85" s="123">
        <f t="shared" si="6"/>
        <v>0.1284313725490196</v>
      </c>
      <c r="G85" s="123">
        <f t="shared" si="6"/>
        <v>0.3088331802073763</v>
      </c>
      <c r="H85" s="123">
        <f t="shared" si="6"/>
        <v>0.11230832987981765</v>
      </c>
      <c r="I85" s="123">
        <f t="shared" si="6"/>
        <v>0.06109775641025641</v>
      </c>
      <c r="J85" s="124" t="s">
        <v>240</v>
      </c>
      <c r="K85" s="123">
        <f t="shared" si="7"/>
        <v>0.4964133219470538</v>
      </c>
      <c r="L85" s="123">
        <f t="shared" si="7"/>
        <v>0.341501976284585</v>
      </c>
      <c r="M85" s="123">
        <f t="shared" si="7"/>
        <v>0.4127416280969235</v>
      </c>
      <c r="N85" s="123">
        <f t="shared" si="7"/>
        <v>0.4154870940882598</v>
      </c>
      <c r="O85" s="123">
        <f t="shared" si="7"/>
        <v>0.2119205298013245</v>
      </c>
    </row>
    <row r="86" spans="1:15" ht="11.25">
      <c r="A86" s="34">
        <v>1997</v>
      </c>
      <c r="B86" s="123">
        <f t="shared" si="5"/>
        <v>0.5480798843903248</v>
      </c>
      <c r="C86" s="123">
        <f t="shared" si="5"/>
        <v>0.6317874621300397</v>
      </c>
      <c r="D86" s="124" t="s">
        <v>240</v>
      </c>
      <c r="E86" s="123">
        <f t="shared" si="6"/>
        <v>0.3031813361611877</v>
      </c>
      <c r="F86" s="123">
        <f t="shared" si="6"/>
        <v>0.12868369351669942</v>
      </c>
      <c r="G86" s="123">
        <f t="shared" si="6"/>
        <v>0.3131831950480706</v>
      </c>
      <c r="H86" s="123">
        <f t="shared" si="6"/>
        <v>0.11230832987981765</v>
      </c>
      <c r="I86" s="123">
        <f t="shared" si="6"/>
        <v>0.061085519727618665</v>
      </c>
      <c r="J86" s="124" t="s">
        <v>240</v>
      </c>
      <c r="K86" s="123">
        <f t="shared" si="7"/>
        <v>0.49837105624142664</v>
      </c>
      <c r="L86" s="123">
        <f t="shared" si="7"/>
        <v>0.34648506151142355</v>
      </c>
      <c r="M86" s="123">
        <f t="shared" si="7"/>
        <v>0.4127416280969235</v>
      </c>
      <c r="N86" s="123">
        <f t="shared" si="7"/>
        <v>0.4154870940882598</v>
      </c>
      <c r="O86" s="123">
        <f t="shared" si="7"/>
        <v>0.19821075868479146</v>
      </c>
    </row>
    <row r="87" spans="1:15" ht="11.25">
      <c r="A87" s="34">
        <v>1998</v>
      </c>
      <c r="B87" s="123">
        <f t="shared" si="5"/>
        <v>0.5535170011479238</v>
      </c>
      <c r="C87" s="123">
        <f t="shared" si="5"/>
        <v>0.6312354312354312</v>
      </c>
      <c r="D87" s="124" t="s">
        <v>240</v>
      </c>
      <c r="E87" s="123">
        <f t="shared" si="6"/>
        <v>0.3031813361611877</v>
      </c>
      <c r="F87" s="123">
        <f t="shared" si="6"/>
        <v>0.1353305785123967</v>
      </c>
      <c r="G87" s="123">
        <f t="shared" si="6"/>
        <v>0.3394399371892175</v>
      </c>
      <c r="H87" s="123">
        <f t="shared" si="6"/>
        <v>0.11189390799834231</v>
      </c>
      <c r="I87" s="123">
        <f t="shared" si="6"/>
        <v>0.061091637456184275</v>
      </c>
      <c r="J87" s="124" t="s">
        <v>240</v>
      </c>
      <c r="K87" s="123">
        <f t="shared" si="7"/>
        <v>0.5003877638948729</v>
      </c>
      <c r="L87" s="123">
        <f t="shared" si="7"/>
        <v>0.35685740236148955</v>
      </c>
      <c r="M87" s="123">
        <f t="shared" si="7"/>
        <v>0.41882673942701226</v>
      </c>
      <c r="N87" s="123">
        <f t="shared" si="7"/>
        <v>0.4154870940882598</v>
      </c>
      <c r="O87" s="123">
        <f t="shared" si="7"/>
        <v>0.19821075868479146</v>
      </c>
    </row>
    <row r="88" spans="1:15" ht="11.25">
      <c r="A88" s="34">
        <v>1999</v>
      </c>
      <c r="B88" s="123">
        <f t="shared" si="5"/>
        <v>0.566316965176114</v>
      </c>
      <c r="C88" s="123">
        <f t="shared" si="5"/>
        <v>0.6312354312354312</v>
      </c>
      <c r="D88" s="124" t="s">
        <v>240</v>
      </c>
      <c r="E88" s="123">
        <f t="shared" si="6"/>
        <v>0.30103769589157137</v>
      </c>
      <c r="F88" s="123">
        <f t="shared" si="6"/>
        <v>0.13636363636363635</v>
      </c>
      <c r="G88" s="123">
        <f t="shared" si="6"/>
        <v>0.3424388968762253</v>
      </c>
      <c r="H88" s="123">
        <f t="shared" si="6"/>
        <v>0.1069208454206382</v>
      </c>
      <c r="I88" s="123">
        <f t="shared" si="6"/>
        <v>0.06404199475065617</v>
      </c>
      <c r="J88" s="124" t="s">
        <v>240</v>
      </c>
      <c r="K88" s="123">
        <f t="shared" si="7"/>
        <v>0.5227818793412258</v>
      </c>
      <c r="L88" s="123">
        <f t="shared" si="7"/>
        <v>0.35898369911665606</v>
      </c>
      <c r="M88" s="123">
        <f t="shared" si="7"/>
        <v>0.41882673942701226</v>
      </c>
      <c r="N88" s="123">
        <f t="shared" si="7"/>
        <v>0.4196502914238135</v>
      </c>
      <c r="O88" s="123">
        <f t="shared" si="7"/>
        <v>0.20306381018198572</v>
      </c>
    </row>
    <row r="90" ht="11.25">
      <c r="A90" s="128" t="s">
        <v>243</v>
      </c>
    </row>
    <row r="91" ht="11.25">
      <c r="A91" s="22" t="s">
        <v>244</v>
      </c>
    </row>
    <row r="92" ht="11.25">
      <c r="A92" s="128"/>
    </row>
    <row r="93" spans="1:15" ht="11.25">
      <c r="A93" s="95"/>
      <c r="B93" s="19" t="s">
        <v>175</v>
      </c>
      <c r="C93" s="20" t="s">
        <v>0</v>
      </c>
      <c r="D93" s="20" t="s">
        <v>29</v>
      </c>
      <c r="E93" s="20" t="s">
        <v>1</v>
      </c>
      <c r="F93" s="20" t="s">
        <v>2</v>
      </c>
      <c r="G93" s="20" t="s">
        <v>3</v>
      </c>
      <c r="H93" s="20" t="s">
        <v>4</v>
      </c>
      <c r="I93" s="20" t="s">
        <v>5</v>
      </c>
      <c r="J93" s="20" t="s">
        <v>30</v>
      </c>
      <c r="K93" s="20" t="s">
        <v>6</v>
      </c>
      <c r="L93" s="20" t="s">
        <v>7</v>
      </c>
      <c r="M93" s="20" t="s">
        <v>8</v>
      </c>
      <c r="N93" s="20" t="s">
        <v>9</v>
      </c>
      <c r="O93" s="21" t="s">
        <v>31</v>
      </c>
    </row>
    <row r="94" spans="1:15" ht="11.25">
      <c r="A94" s="129">
        <v>1990</v>
      </c>
      <c r="B94" s="131"/>
      <c r="C94" s="131"/>
      <c r="D94" s="131"/>
      <c r="E94" s="131"/>
      <c r="F94" s="131"/>
      <c r="G94" s="131"/>
      <c r="H94" s="131"/>
      <c r="I94" s="131"/>
      <c r="J94" s="131"/>
      <c r="K94" s="131"/>
      <c r="L94" s="131"/>
      <c r="M94" s="131"/>
      <c r="N94" s="131"/>
      <c r="O94" s="131"/>
    </row>
    <row r="95" spans="1:15" ht="11.25">
      <c r="A95" s="129">
        <v>1991</v>
      </c>
      <c r="B95" s="131"/>
      <c r="C95" s="131"/>
      <c r="D95" s="131"/>
      <c r="E95" s="131"/>
      <c r="F95" s="131"/>
      <c r="G95" s="131"/>
      <c r="H95" s="131"/>
      <c r="I95" s="131"/>
      <c r="J95" s="131"/>
      <c r="K95" s="131"/>
      <c r="L95" s="131"/>
      <c r="M95" s="131"/>
      <c r="N95" s="131"/>
      <c r="O95" s="131"/>
    </row>
    <row r="96" spans="1:15" ht="11.25">
      <c r="A96" s="129">
        <v>1992</v>
      </c>
      <c r="B96" s="131"/>
      <c r="C96" s="131"/>
      <c r="D96" s="131"/>
      <c r="E96" s="131"/>
      <c r="F96" s="131"/>
      <c r="G96" s="131"/>
      <c r="H96" s="131"/>
      <c r="I96" s="131"/>
      <c r="J96" s="131"/>
      <c r="K96" s="131"/>
      <c r="L96" s="131"/>
      <c r="M96" s="131"/>
      <c r="N96" s="131"/>
      <c r="O96" s="131"/>
    </row>
    <row r="97" spans="1:15" ht="11.25">
      <c r="A97" s="129">
        <v>1993</v>
      </c>
      <c r="B97" s="131"/>
      <c r="C97" s="131"/>
      <c r="D97" s="131"/>
      <c r="E97" s="131"/>
      <c r="F97" s="131"/>
      <c r="G97" s="131"/>
      <c r="H97" s="131"/>
      <c r="I97" s="131"/>
      <c r="J97" s="131"/>
      <c r="K97" s="131"/>
      <c r="L97" s="131"/>
      <c r="M97" s="131"/>
      <c r="N97" s="131"/>
      <c r="O97" s="131"/>
    </row>
    <row r="98" spans="1:15" ht="11.25">
      <c r="A98" s="129">
        <v>1994</v>
      </c>
      <c r="B98" s="131"/>
      <c r="C98" s="131"/>
      <c r="D98" s="131"/>
      <c r="E98" s="131"/>
      <c r="F98" s="131"/>
      <c r="G98" s="131"/>
      <c r="H98" s="131"/>
      <c r="I98" s="131"/>
      <c r="J98" s="131"/>
      <c r="K98" s="131"/>
      <c r="L98" s="131"/>
      <c r="M98" s="131"/>
      <c r="N98" s="131"/>
      <c r="O98" s="131"/>
    </row>
    <row r="99" spans="1:15" ht="11.25">
      <c r="A99" s="129">
        <v>1995</v>
      </c>
      <c r="B99" s="131"/>
      <c r="C99" s="131"/>
      <c r="D99" s="131"/>
      <c r="E99" s="131"/>
      <c r="F99" s="131"/>
      <c r="G99" s="131"/>
      <c r="H99" s="131"/>
      <c r="I99" s="131"/>
      <c r="J99" s="131"/>
      <c r="K99" s="131"/>
      <c r="L99" s="131"/>
      <c r="M99" s="131"/>
      <c r="N99" s="131"/>
      <c r="O99" s="131"/>
    </row>
    <row r="100" spans="1:15" ht="11.25">
      <c r="A100" s="129">
        <v>1996</v>
      </c>
      <c r="B100" s="131"/>
      <c r="C100" s="131"/>
      <c r="D100" s="131"/>
      <c r="E100" s="131"/>
      <c r="F100" s="131"/>
      <c r="G100" s="131"/>
      <c r="H100" s="131"/>
      <c r="I100" s="131"/>
      <c r="J100" s="131"/>
      <c r="K100" s="131"/>
      <c r="L100" s="131"/>
      <c r="M100" s="131"/>
      <c r="N100" s="131"/>
      <c r="O100" s="131"/>
    </row>
    <row r="101" spans="1:15" ht="11.25">
      <c r="A101" s="129">
        <v>1997</v>
      </c>
      <c r="B101" s="131"/>
      <c r="C101" s="131"/>
      <c r="D101" s="131"/>
      <c r="E101" s="131"/>
      <c r="F101" s="131"/>
      <c r="G101" s="131"/>
      <c r="H101" s="131"/>
      <c r="I101" s="131"/>
      <c r="J101" s="131"/>
      <c r="K101" s="131"/>
      <c r="L101" s="131"/>
      <c r="M101" s="131"/>
      <c r="N101" s="131"/>
      <c r="O101" s="131"/>
    </row>
    <row r="102" spans="1:15" ht="11.25">
      <c r="A102" s="129">
        <v>1998</v>
      </c>
      <c r="B102" s="131"/>
      <c r="C102" s="131"/>
      <c r="D102" s="131"/>
      <c r="E102" s="131"/>
      <c r="F102" s="131"/>
      <c r="G102" s="131"/>
      <c r="H102" s="131"/>
      <c r="I102" s="131"/>
      <c r="J102" s="131"/>
      <c r="K102" s="131"/>
      <c r="L102" s="131"/>
      <c r="M102" s="131"/>
      <c r="N102" s="131"/>
      <c r="O102" s="131"/>
    </row>
    <row r="103" spans="1:15" ht="11.25">
      <c r="A103" s="129">
        <v>1999</v>
      </c>
      <c r="B103" s="131"/>
      <c r="C103" s="131"/>
      <c r="D103" s="131"/>
      <c r="E103" s="131"/>
      <c r="F103" s="131"/>
      <c r="G103" s="131"/>
      <c r="H103" s="131"/>
      <c r="I103" s="131"/>
      <c r="J103" s="131"/>
      <c r="K103" s="131"/>
      <c r="L103" s="131"/>
      <c r="M103" s="131"/>
      <c r="N103" s="131"/>
      <c r="O103" s="131"/>
    </row>
    <row r="104" spans="1:15" ht="11.25">
      <c r="A104" s="129"/>
      <c r="B104" s="131"/>
      <c r="C104" s="131"/>
      <c r="D104" s="131"/>
      <c r="E104" s="131"/>
      <c r="F104" s="131"/>
      <c r="G104" s="131"/>
      <c r="H104" s="131"/>
      <c r="I104" s="131"/>
      <c r="J104" s="131"/>
      <c r="K104" s="131"/>
      <c r="L104" s="131"/>
      <c r="M104" s="131"/>
      <c r="N104" s="131"/>
      <c r="O104" s="131"/>
    </row>
    <row r="105" spans="1:15" ht="11.25">
      <c r="A105" s="1" t="s">
        <v>208</v>
      </c>
      <c r="B105" s="129" t="s">
        <v>247</v>
      </c>
      <c r="C105" s="131"/>
      <c r="D105" s="131"/>
      <c r="E105" s="131"/>
      <c r="F105" s="131"/>
      <c r="G105" s="131"/>
      <c r="H105" s="131"/>
      <c r="I105" s="131"/>
      <c r="J105" s="131"/>
      <c r="K105" s="131"/>
      <c r="L105" s="131"/>
      <c r="M105" s="131"/>
      <c r="N105" s="131"/>
      <c r="O105" s="131"/>
    </row>
    <row r="106" spans="3:15" ht="11.25">
      <c r="C106" s="131"/>
      <c r="D106" s="131"/>
      <c r="E106" s="131"/>
      <c r="F106" s="131"/>
      <c r="G106" s="131"/>
      <c r="H106" s="131"/>
      <c r="I106" s="131"/>
      <c r="J106" s="131"/>
      <c r="K106" s="131"/>
      <c r="L106" s="131"/>
      <c r="M106" s="131"/>
      <c r="N106" s="131"/>
      <c r="O106" s="131"/>
    </row>
    <row r="107" ht="11.25">
      <c r="A107" s="39"/>
    </row>
    <row r="108" ht="11.25">
      <c r="A108" s="128" t="s">
        <v>245</v>
      </c>
    </row>
    <row r="109" ht="11.25">
      <c r="A109" s="22" t="s">
        <v>246</v>
      </c>
    </row>
    <row r="110" ht="11.25">
      <c r="A110" s="128"/>
    </row>
    <row r="111" spans="1:15" ht="11.25">
      <c r="A111" s="95"/>
      <c r="B111" s="19" t="s">
        <v>175</v>
      </c>
      <c r="C111" s="20" t="s">
        <v>0</v>
      </c>
      <c r="D111" s="20" t="s">
        <v>29</v>
      </c>
      <c r="E111" s="20" t="s">
        <v>1</v>
      </c>
      <c r="F111" s="20" t="s">
        <v>2</v>
      </c>
      <c r="G111" s="20" t="s">
        <v>3</v>
      </c>
      <c r="H111" s="20" t="s">
        <v>4</v>
      </c>
      <c r="I111" s="20" t="s">
        <v>5</v>
      </c>
      <c r="J111" s="20" t="s">
        <v>30</v>
      </c>
      <c r="K111" s="20" t="s">
        <v>6</v>
      </c>
      <c r="L111" s="20" t="s">
        <v>7</v>
      </c>
      <c r="M111" s="20" t="s">
        <v>8</v>
      </c>
      <c r="N111" s="20" t="s">
        <v>9</v>
      </c>
      <c r="O111" s="21" t="s">
        <v>31</v>
      </c>
    </row>
    <row r="112" spans="1:15" ht="11.25">
      <c r="A112" s="129">
        <v>1990</v>
      </c>
      <c r="B112" s="131"/>
      <c r="C112" s="131"/>
      <c r="D112" s="131"/>
      <c r="E112" s="131"/>
      <c r="F112" s="131"/>
      <c r="G112" s="131"/>
      <c r="H112" s="131"/>
      <c r="I112" s="131"/>
      <c r="J112" s="131"/>
      <c r="K112" s="131"/>
      <c r="L112" s="131"/>
      <c r="M112" s="131"/>
      <c r="N112" s="131"/>
      <c r="O112" s="131"/>
    </row>
    <row r="113" spans="1:15" ht="11.25">
      <c r="A113" s="129">
        <v>1991</v>
      </c>
      <c r="B113" s="131"/>
      <c r="C113" s="131"/>
      <c r="D113" s="131"/>
      <c r="E113" s="131"/>
      <c r="F113" s="131"/>
      <c r="G113" s="131"/>
      <c r="H113" s="131"/>
      <c r="I113" s="131"/>
      <c r="J113" s="131"/>
      <c r="K113" s="131"/>
      <c r="L113" s="131"/>
      <c r="M113" s="131"/>
      <c r="N113" s="131"/>
      <c r="O113" s="131"/>
    </row>
    <row r="114" spans="1:15" ht="11.25">
      <c r="A114" s="129">
        <v>1992</v>
      </c>
      <c r="B114" s="131"/>
      <c r="C114" s="131"/>
      <c r="D114" s="131"/>
      <c r="E114" s="131"/>
      <c r="F114" s="131"/>
      <c r="G114" s="131"/>
      <c r="H114" s="131"/>
      <c r="I114" s="131"/>
      <c r="J114" s="131"/>
      <c r="K114" s="131"/>
      <c r="L114" s="131"/>
      <c r="M114" s="131"/>
      <c r="N114" s="131"/>
      <c r="O114" s="131"/>
    </row>
    <row r="115" spans="1:15" ht="11.25">
      <c r="A115" s="129">
        <v>1993</v>
      </c>
      <c r="B115" s="131"/>
      <c r="C115" s="131"/>
      <c r="D115" s="131"/>
      <c r="E115" s="131"/>
      <c r="F115" s="131"/>
      <c r="G115" s="131"/>
      <c r="H115" s="131"/>
      <c r="I115" s="131"/>
      <c r="J115" s="131"/>
      <c r="K115" s="131"/>
      <c r="L115" s="131"/>
      <c r="M115" s="131"/>
      <c r="N115" s="131"/>
      <c r="O115" s="131"/>
    </row>
    <row r="116" spans="1:15" ht="11.25">
      <c r="A116" s="129">
        <v>1994</v>
      </c>
      <c r="B116" s="131"/>
      <c r="C116" s="131"/>
      <c r="D116" s="131"/>
      <c r="E116" s="131"/>
      <c r="F116" s="131"/>
      <c r="G116" s="131"/>
      <c r="H116" s="131"/>
      <c r="I116" s="131"/>
      <c r="J116" s="131"/>
      <c r="K116" s="131"/>
      <c r="L116" s="131"/>
      <c r="M116" s="131"/>
      <c r="N116" s="131"/>
      <c r="O116" s="131"/>
    </row>
    <row r="117" spans="1:15" ht="11.25">
      <c r="A117" s="129">
        <v>1995</v>
      </c>
      <c r="B117" s="131"/>
      <c r="C117" s="131"/>
      <c r="D117" s="131"/>
      <c r="E117" s="131"/>
      <c r="F117" s="131"/>
      <c r="G117" s="131"/>
      <c r="H117" s="131"/>
      <c r="I117" s="131"/>
      <c r="J117" s="131"/>
      <c r="K117" s="131"/>
      <c r="L117" s="131"/>
      <c r="M117" s="131"/>
      <c r="N117" s="131"/>
      <c r="O117" s="131"/>
    </row>
    <row r="118" spans="1:15" ht="11.25">
      <c r="A118" s="129">
        <v>1996</v>
      </c>
      <c r="B118" s="131"/>
      <c r="C118" s="131"/>
      <c r="D118" s="131"/>
      <c r="E118" s="131"/>
      <c r="F118" s="131"/>
      <c r="G118" s="131"/>
      <c r="H118" s="131"/>
      <c r="I118" s="131"/>
      <c r="J118" s="131"/>
      <c r="K118" s="131"/>
      <c r="L118" s="131"/>
      <c r="M118" s="131"/>
      <c r="N118" s="131"/>
      <c r="O118" s="131"/>
    </row>
    <row r="119" spans="1:15" ht="11.25">
      <c r="A119" s="129">
        <v>1997</v>
      </c>
      <c r="B119" s="131"/>
      <c r="C119" s="131"/>
      <c r="D119" s="131"/>
      <c r="E119" s="131"/>
      <c r="F119" s="131"/>
      <c r="G119" s="131"/>
      <c r="H119" s="131"/>
      <c r="I119" s="131"/>
      <c r="J119" s="131"/>
      <c r="K119" s="131"/>
      <c r="L119" s="131"/>
      <c r="M119" s="131"/>
      <c r="N119" s="131"/>
      <c r="O119" s="131"/>
    </row>
    <row r="120" spans="1:15" ht="11.25">
      <c r="A120" s="129">
        <v>1998</v>
      </c>
      <c r="B120" s="131"/>
      <c r="C120" s="131"/>
      <c r="D120" s="131"/>
      <c r="E120" s="131"/>
      <c r="F120" s="131"/>
      <c r="G120" s="131"/>
      <c r="H120" s="131"/>
      <c r="I120" s="131"/>
      <c r="J120" s="131"/>
      <c r="K120" s="131"/>
      <c r="L120" s="131"/>
      <c r="M120" s="131"/>
      <c r="N120" s="131"/>
      <c r="O120" s="131"/>
    </row>
    <row r="121" spans="1:15" ht="11.25">
      <c r="A121" s="129">
        <v>1999</v>
      </c>
      <c r="B121" s="131"/>
      <c r="C121" s="131"/>
      <c r="D121" s="131"/>
      <c r="E121" s="131"/>
      <c r="F121" s="131"/>
      <c r="G121" s="131"/>
      <c r="H121" s="131"/>
      <c r="I121" s="131"/>
      <c r="J121" s="131"/>
      <c r="K121" s="131"/>
      <c r="L121" s="131"/>
      <c r="M121" s="131"/>
      <c r="N121" s="131"/>
      <c r="O121" s="131"/>
    </row>
    <row r="122" spans="1:15" ht="11.25">
      <c r="A122" s="129"/>
      <c r="B122" s="131"/>
      <c r="C122" s="131"/>
      <c r="D122" s="131"/>
      <c r="E122" s="131"/>
      <c r="F122" s="131"/>
      <c r="G122" s="131"/>
      <c r="H122" s="131"/>
      <c r="I122" s="131"/>
      <c r="J122" s="131"/>
      <c r="K122" s="131"/>
      <c r="L122" s="131"/>
      <c r="M122" s="131"/>
      <c r="N122" s="131"/>
      <c r="O122" s="131"/>
    </row>
    <row r="123" spans="1:2" ht="11.25">
      <c r="A123" s="1" t="s">
        <v>208</v>
      </c>
      <c r="B123" s="129" t="s">
        <v>247</v>
      </c>
    </row>
    <row r="124" ht="11.25">
      <c r="C124" s="13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TERM</dc:subject>
  <dc:creator>Wouter de Ridder</dc:creator>
  <cp:keywords/>
  <dc:description/>
  <cp:lastModifiedBy>EdB</cp:lastModifiedBy>
  <cp:lastPrinted>2001-11-29T12:34:15Z</cp:lastPrinted>
  <dcterms:created xsi:type="dcterms:W3CDTF">2001-01-29T14:49:10Z</dcterms:created>
  <dcterms:modified xsi:type="dcterms:W3CDTF">2003-09-03T13:23:21Z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