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comments14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" windowWidth="11205" windowHeight="5775" tabRatio="927" firstSheet="2" activeTab="12"/>
  </bookViews>
  <sheets>
    <sheet name="Readme" sheetId="1" r:id="rId1"/>
    <sheet name="Definitions" sheetId="2" r:id="rId2"/>
    <sheet name="GDP BD" sheetId="3" r:id="rId3"/>
    <sheet name="BD_Road" sheetId="4" r:id="rId4"/>
    <sheet name="BD_Rail" sheetId="5" r:id="rId5"/>
    <sheet name="BD_IWW" sheetId="6" r:id="rId6"/>
    <sheet name="BD_Sea" sheetId="7" r:id="rId7"/>
    <sheet name="BD_Air" sheetId="8" r:id="rId8"/>
    <sheet name="BD Aggreg" sheetId="9" r:id="rId9"/>
    <sheet name="Figure 1" sheetId="10" r:id="rId10"/>
    <sheet name="Figure2" sheetId="11" r:id="rId11"/>
    <sheet name="DataExtract1" sheetId="12" r:id="rId12"/>
    <sheet name="Chart 1" sheetId="13" r:id="rId13"/>
    <sheet name="DataExtract2" sheetId="14" r:id="rId14"/>
    <sheet name="Chart2" sheetId="15" r:id="rId15"/>
    <sheet name="DataExtract3" sheetId="16" r:id="rId16"/>
    <sheet name="DataExtract4" sheetId="17" r:id="rId17"/>
    <sheet name="DataExtract5" sheetId="18" r:id="rId18"/>
    <sheet name="DataExtract6" sheetId="19" r:id="rId19"/>
  </sheets>
  <externalReferences>
    <externalReference r:id="rId22"/>
  </externalReferences>
  <definedNames>
    <definedName name="_Ref100">#REF!</definedName>
    <definedName name="AnneeDepart">#REF!</definedName>
    <definedName name="data">#REF!</definedName>
    <definedName name="DataAgr">#REF!</definedName>
    <definedName name="DataAgrPays">#REF!</definedName>
    <definedName name="Indice">#REF!</definedName>
    <definedName name="MoyAgr">#REF!</definedName>
    <definedName name="MoyPays">#REF!</definedName>
    <definedName name="PaysComplet">#REF!</definedName>
    <definedName name="PhrasesAgr">#REF!</definedName>
    <definedName name="_xlnm.Print_Area" localSheetId="8">'BD Aggreg'!$A$2:$R$51</definedName>
    <definedName name="_xlnm.Print_Area" localSheetId="11">'DataExtract1'!$A$3:$N$26</definedName>
    <definedName name="_xlnm.Print_Area" localSheetId="13">'DataExtract2'!$A$3:$R$20</definedName>
    <definedName name="_xlnm.Print_Area" localSheetId="15">'DataExtract3'!$A$3:$Q$20</definedName>
    <definedName name="_xlnm.Print_Area" localSheetId="16">'DataExtract4'!#REF!</definedName>
    <definedName name="_xlnm.Print_Area" localSheetId="17">'DataExtract5'!$A$1:$R$1</definedName>
    <definedName name="_xlnm.Print_Area" localSheetId="18">'DataExtract6'!$A$1:$R$2</definedName>
    <definedName name="tableau">#REF!</definedName>
    <definedName name="toto">'[1]Data Import'!$A:$XFD</definedName>
  </definedNames>
  <calcPr fullCalcOnLoad="1"/>
</workbook>
</file>

<file path=xl/comments14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Calcs were wrong for 2005-07. Corrected.</t>
        </r>
      </text>
    </comment>
    <comment ref="A1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Calcs were wrong for 2005-07. Corrected.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Incorrect cell refs in this row. Have corrected.</t>
        </r>
      </text>
    </comment>
    <comment ref="B1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Incorrect cell refs in this row. Have corrected.</t>
        </r>
      </text>
    </comment>
    <comment ref="B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Incorrect cell refs in this row. Have corrected.</t>
        </r>
      </text>
    </comment>
    <comment ref="B2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Incorrect cell refs in this row. Have corrected.</t>
        </r>
      </text>
    </comment>
    <comment ref="R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This value has been corrected as linked to incorrect cell on sea sheet</t>
        </r>
      </text>
    </comment>
  </commentList>
</comments>
</file>

<file path=xl/sharedStrings.xml><?xml version="1.0" encoding="utf-8"?>
<sst xmlns="http://schemas.openxmlformats.org/spreadsheetml/2006/main" count="1344" uniqueCount="270">
  <si>
    <t>Austria</t>
  </si>
  <si>
    <t>Bulgaria</t>
  </si>
  <si>
    <t>Czech</t>
  </si>
  <si>
    <t>Denmark</t>
  </si>
  <si>
    <t>Estonia</t>
  </si>
  <si>
    <t>Finland</t>
  </si>
  <si>
    <t>France</t>
  </si>
  <si>
    <t>Germany</t>
  </si>
  <si>
    <t>Iceland</t>
  </si>
  <si>
    <t>Ireland</t>
  </si>
  <si>
    <t>Italy</t>
  </si>
  <si>
    <t>Latvia</t>
  </si>
  <si>
    <t>Liechtenstein</t>
  </si>
  <si>
    <t>Lithuania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</si>
  <si>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</si>
  <si>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</si>
  <si>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</si>
  <si>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</si>
  <si>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</si>
  <si>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</si>
  <si>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</si>
  <si>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</si>
  <si>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</si>
  <si>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UK</t>
  </si>
  <si>
    <t>Data has been estimated by the Secretariat</t>
  </si>
  <si>
    <t>© OECD/ITF All rights reserved</t>
  </si>
  <si>
    <t>Belgium</t>
  </si>
  <si>
    <t>Greece</t>
  </si>
  <si>
    <t>EU15</t>
  </si>
  <si>
    <t>Cyprus</t>
  </si>
  <si>
    <t>Hungary</t>
  </si>
  <si>
    <t>Norway</t>
  </si>
  <si>
    <t>Turkey</t>
  </si>
  <si>
    <t>Netherlands</t>
  </si>
  <si>
    <t>EEA32</t>
  </si>
  <si>
    <t>IWW</t>
  </si>
  <si>
    <t>Road</t>
  </si>
  <si>
    <t>Rail</t>
  </si>
  <si>
    <t>Air</t>
  </si>
  <si>
    <t xml:space="preserve">Sea </t>
  </si>
  <si>
    <t>Read me</t>
  </si>
  <si>
    <t>The workbook also contains further extracts of data and graphs which provide additional detail on the topic.</t>
  </si>
  <si>
    <t>The workbook tabs are colour coded to help the reader quickly access the appropriate information:</t>
  </si>
  <si>
    <t xml:space="preserve">Read Me </t>
  </si>
  <si>
    <t>Definitions</t>
  </si>
  <si>
    <t>Base Data</t>
  </si>
  <si>
    <t>Factsheet Data and Chart</t>
  </si>
  <si>
    <t>Additional Extracts (Data and Graphs)</t>
  </si>
  <si>
    <t>Prepared by:</t>
  </si>
  <si>
    <t>Contents of Workbook</t>
  </si>
  <si>
    <t>Name of Worksheet</t>
  </si>
  <si>
    <t>Contents</t>
  </si>
  <si>
    <t>Provides a detailed summary of the information contained in the workbook and lists all of the data sources used.</t>
  </si>
  <si>
    <t>Provides a glossary of all of the abbreviations which can be found in the workbook.</t>
  </si>
  <si>
    <t>Data Sources</t>
  </si>
  <si>
    <t>This workbook contains the all data and graphical input for TERM19 - Infrastructure Investments</t>
  </si>
  <si>
    <t>Geo</t>
  </si>
  <si>
    <t xml:space="preserve">IWW </t>
  </si>
  <si>
    <t>Inland Water Ways</t>
  </si>
  <si>
    <t>European Union (25 countries) (as of 2004)</t>
  </si>
  <si>
    <t>European Union (15 countries) (members before 2004)</t>
  </si>
  <si>
    <t>Calculation Index 1995=100</t>
  </si>
  <si>
    <t>Total EU15</t>
  </si>
  <si>
    <t>Data Source:</t>
  </si>
  <si>
    <t>Path:</t>
  </si>
  <si>
    <t>Link:</t>
  </si>
  <si>
    <t xml:space="preserve">Data source 1: </t>
  </si>
  <si>
    <t>OECD/ITF</t>
  </si>
  <si>
    <t>N/A</t>
  </si>
  <si>
    <t>Selection Criteria:</t>
  </si>
  <si>
    <t>BE</t>
  </si>
  <si>
    <t>CZ</t>
  </si>
  <si>
    <t>DK</t>
  </si>
  <si>
    <t>IE</t>
  </si>
  <si>
    <t>ES</t>
  </si>
  <si>
    <t>FR</t>
  </si>
  <si>
    <t>IT</t>
  </si>
  <si>
    <t>CY</t>
  </si>
  <si>
    <t>LV</t>
  </si>
  <si>
    <t>LT</t>
  </si>
  <si>
    <t>LU</t>
  </si>
  <si>
    <t>NL</t>
  </si>
  <si>
    <t>AT</t>
  </si>
  <si>
    <t>PL</t>
  </si>
  <si>
    <t>PT</t>
  </si>
  <si>
    <t>RO</t>
  </si>
  <si>
    <t>SI</t>
  </si>
  <si>
    <t>FI</t>
  </si>
  <si>
    <t>SE</t>
  </si>
  <si>
    <t>TR</t>
  </si>
  <si>
    <t>IS</t>
  </si>
  <si>
    <t>NO</t>
  </si>
  <si>
    <t>CH</t>
  </si>
  <si>
    <t>mio_eur</t>
  </si>
  <si>
    <t>Millions of euro (from 1.1.1999)/Millions of ECU (up to 31.12.1998)</t>
  </si>
  <si>
    <t>b1gm</t>
  </si>
  <si>
    <t>Gross domestic product at market prices</t>
  </si>
  <si>
    <t>Czech Republic</t>
  </si>
  <si>
    <t>Germany (including ex-GDR from 1991)</t>
  </si>
  <si>
    <t>Luxembourg (Grand-Duché)</t>
  </si>
  <si>
    <t>United Kingdom</t>
  </si>
  <si>
    <t>Data Source 2:</t>
  </si>
  <si>
    <t>Contains the original Infrastructure Investment base data obtained from the ITF/OECD. Calculations have been made to aggregate the data for EU10, EU15, EU25 and EEA 32.</t>
  </si>
  <si>
    <t>Share of Infrastructure Investment by Mode in EEA Member Countries. Contains a graph.</t>
  </si>
  <si>
    <t>http://epp.eurostat.ec.europa.eu/portal/page?_pageid=0,1136173,0_45570701&amp;_dad=portal&amp;_schema=PORTAL</t>
  </si>
  <si>
    <t>Eurostat\Data\Economy and Finance\National Accounts (including GDP)\Annual National Accounts\GDP and Main Aggregates\GDP and Main Components - Current Prices</t>
  </si>
  <si>
    <t>Geo: Select All</t>
  </si>
  <si>
    <t xml:space="preserve">Indicator: B1GM Gross domestic product at market prices </t>
  </si>
  <si>
    <t xml:space="preserve">Unit: MIO_EUR Millions of euro (from 1.1.1999)/Millions of ECU (up to 31.12.1998) </t>
  </si>
  <si>
    <t>Time: 1990-2008</t>
  </si>
  <si>
    <t>Transport Modes</t>
  </si>
  <si>
    <t>Geos</t>
  </si>
  <si>
    <t>Indicator</t>
  </si>
  <si>
    <t>Units</t>
  </si>
  <si>
    <t>Code</t>
  </si>
  <si>
    <t>European Union (27 countries) (as of 2007)</t>
  </si>
  <si>
    <t>New Member States (CZ, EE, CY, HU, LV, LT, MT, PL, SI, SK) (as of 2004)</t>
  </si>
  <si>
    <t>Member countries of the European Environment Agency</t>
  </si>
  <si>
    <t>All the data is in current prices.</t>
  </si>
  <si>
    <t>http://www.internationaltransportforum.org/statistics/investment/data.htm</t>
  </si>
  <si>
    <t>issued: 17 Apr 09</t>
  </si>
  <si>
    <t>Luxembourg</t>
  </si>
  <si>
    <t>United kingdom</t>
  </si>
  <si>
    <t>Estimate of GDP in Euro at 2000 market prices (MRd)</t>
  </si>
  <si>
    <t>BG (1990 constant)</t>
  </si>
  <si>
    <t>DE (linked)</t>
  </si>
  <si>
    <t>EE (1990-92, constant)</t>
  </si>
  <si>
    <t>HU (1990 Autumn 2004 forecasts)</t>
  </si>
  <si>
    <t>MT (1990 constant)</t>
  </si>
  <si>
    <t>SK (1990-91 constant)</t>
  </si>
  <si>
    <t>EU-27</t>
  </si>
  <si>
    <t>SEA</t>
  </si>
  <si>
    <t>EU12</t>
  </si>
  <si>
    <t>Notes: no Cyprus, Belgium, Greece, Netherlands</t>
  </si>
  <si>
    <t>EU27</t>
  </si>
  <si>
    <t>EEA32 (without CY, BE, GR, NL)</t>
  </si>
  <si>
    <t>EU27 (without CY, BE, GR, NL)</t>
  </si>
  <si>
    <t>%</t>
  </si>
  <si>
    <t>Total EU12</t>
  </si>
  <si>
    <t>Change in Investment in Road Infrastructure by country grouping (EU27)</t>
  </si>
  <si>
    <t>Ausra Jurkeviciute, TRL, September 2009</t>
  </si>
  <si>
    <t>Readme</t>
  </si>
  <si>
    <t>Change in Investment in Sea Port Infrastructure by country grouping. Contains data extract. (EU27)</t>
  </si>
  <si>
    <t>Change in Investment in Airport Infrastructure by country grouping. Contains data extract. (EU27)</t>
  </si>
  <si>
    <t>Change in investment in infrastructure by more (base year 2000). Contains Figure 2</t>
  </si>
  <si>
    <t>Investment in Infrastructure (Million Euro) in EEA Member Countries. Contains Figure 1</t>
  </si>
  <si>
    <t>Eurostat. Table NAMA_GDP_C =  GDP and main components - Current prices, available from the website of Eurostat via following path or direct link.</t>
  </si>
  <si>
    <t>Alternatively EEA data can be used</t>
  </si>
  <si>
    <t>data available by mode</t>
  </si>
  <si>
    <t>Base Data Investment Ori</t>
  </si>
  <si>
    <t>GDP_BD</t>
  </si>
  <si>
    <t>BD_Road</t>
  </si>
  <si>
    <t>BD_Rail</t>
  </si>
  <si>
    <t>BD_IWW</t>
  </si>
  <si>
    <t>BD_Sea</t>
  </si>
  <si>
    <t>BD_Air</t>
  </si>
  <si>
    <t>BD_Aggreg</t>
  </si>
  <si>
    <t>Figure 1</t>
  </si>
  <si>
    <t>Figure 2</t>
  </si>
  <si>
    <t>Data Extract 1</t>
  </si>
  <si>
    <t>Chart1</t>
  </si>
  <si>
    <t xml:space="preserve">Chart 2 </t>
  </si>
  <si>
    <t>Data Extract 3</t>
  </si>
  <si>
    <t>Data Extract 4</t>
  </si>
  <si>
    <t>Data Extract 5</t>
  </si>
  <si>
    <t>Data Extract 6</t>
  </si>
  <si>
    <t>BG</t>
  </si>
  <si>
    <t>DE</t>
  </si>
  <si>
    <t>EE</t>
  </si>
  <si>
    <t>GR</t>
  </si>
  <si>
    <t>HU</t>
  </si>
  <si>
    <t>MT</t>
  </si>
  <si>
    <t>SK</t>
  </si>
  <si>
    <t>LI</t>
  </si>
  <si>
    <t>EU25</t>
  </si>
  <si>
    <t>EU10</t>
  </si>
  <si>
    <t>GDP in Euro</t>
  </si>
  <si>
    <t>Estimates of GDP in Euro at 2000 market prices (MRd)</t>
  </si>
  <si>
    <t>Base data of investments in road infrastructure (million €) Current Prices for EEA32 without Belgium, Cyprus, Greece, Luxembourg and Netherlands</t>
  </si>
  <si>
    <t>Base data of investments in rail infrastructure (million €) Current Prices for EEA32 without Cyprus, Belgium, Greece, Iceland, Liechtenstein, Luxembourg, Malta and Netherlands</t>
  </si>
  <si>
    <t>Base data of investment in inland waterways infrastructure (million €) Current Prices EEA32 without Cyprus, Belgium, Greece, Luxembourg, Netherlands and the UK (only for the countries with IWW infrastructure)</t>
  </si>
  <si>
    <t>Base data of investments in sea port infrastructure (million €) Current Prices EEA32 without Cyprus, Belgium, Greece, Netherlands (only for the countries with sea ports)</t>
  </si>
  <si>
    <t>Base data of investments in airports infrastructure (million €) Current Prices EEA32 without Cyprus, Belgium, Greece, Liechtenstein, Luxembourg, Malta and Netherlands</t>
  </si>
  <si>
    <t>Aggregate data on investments in Infrastructure (Million Euro) by mode and country grouping: EEA32, EU12 and EU15</t>
  </si>
  <si>
    <t>Estimated by the Secretariat</t>
  </si>
  <si>
    <t>Aggregate data on investments in infrastructure (million Euro) by mode and country grouping: EEA32, EU12 and EU15</t>
  </si>
  <si>
    <t>EEA32 in Euro</t>
  </si>
  <si>
    <t>Sea</t>
  </si>
  <si>
    <t>TOTAL</t>
  </si>
  <si>
    <t>EEA32 % of TOTAL</t>
  </si>
  <si>
    <t>Relative to 2000</t>
  </si>
  <si>
    <t>Contains data: Percentage of GDP used for infrastructure investment by mode (EEA32)</t>
  </si>
  <si>
    <t>Percentage of GDP used for infrastructure investment by mode (EEA32)</t>
  </si>
  <si>
    <t>GDP (euro)</t>
  </si>
  <si>
    <t>Total Investment (euro)</t>
  </si>
  <si>
    <t>TOTAL %</t>
  </si>
  <si>
    <t>Data Extract 2</t>
  </si>
  <si>
    <t>Change in investment in road infrastructure by country grouping (EU27)</t>
  </si>
  <si>
    <t>Road (million euro)</t>
  </si>
  <si>
    <t>Change in investment in rail infrastructure by country grouping (EU27)</t>
  </si>
  <si>
    <t>Rail (million euro)</t>
  </si>
  <si>
    <t>Change in investment in inland waterway infrastructure by country grouping (EU27)</t>
  </si>
  <si>
    <t>Change in Investment in Inland waterway infrastructure by country grouping. Contains data extract (EU27)</t>
  </si>
  <si>
    <t>Change in Investment in rail infrastructure by country grouping. Contains data extract (EU27)</t>
  </si>
  <si>
    <t>Change in investments in road infrastructure. Contains a graph.</t>
  </si>
  <si>
    <t>IWW (million euro)</t>
  </si>
  <si>
    <t>Sea (million euro)</t>
  </si>
  <si>
    <t>Change in investment in sea port infrastructure by country grouping (EU27)</t>
  </si>
  <si>
    <t>Air (million euro)</t>
  </si>
  <si>
    <t>Change in investment in airport infrastructure by country grouping (EU27)</t>
  </si>
  <si>
    <t>Y</t>
  </si>
  <si>
    <t>EL (Greece)</t>
  </si>
  <si>
    <t>N</t>
  </si>
  <si>
    <t>Checks: EEA 32 (w/o CY, BE, GR, NL)</t>
  </si>
  <si>
    <t>Checks: EU27 (w/o CY, BE, GR, NL)</t>
  </si>
  <si>
    <t>Checks: EEA32</t>
  </si>
  <si>
    <t>Checks: EU27</t>
  </si>
  <si>
    <t>Notes: no data for Cyprus, Belgium, Greece, Netherlands</t>
  </si>
  <si>
    <t>Million Euros</t>
  </si>
  <si>
    <t>Checks:</t>
  </si>
  <si>
    <t>Comments:</t>
  </si>
  <si>
    <t>EE32 should equal EU27 plus IS, LI, NO, CH and TR</t>
  </si>
  <si>
    <t>Gap filled cells are highlighted in orange</t>
  </si>
  <si>
    <t>No. Of MS included</t>
  </si>
  <si>
    <t>Checks</t>
  </si>
  <si>
    <t>Data deleted due to limited data being available for rail and sea</t>
  </si>
  <si>
    <t>Data deleted due to limited data being available for IWW</t>
  </si>
  <si>
    <t>Data deleted due to limited data being available for sea and air</t>
  </si>
  <si>
    <t>Data deleted due to limited sea data being available</t>
  </si>
  <si>
    <t>Data deleted from the above table: (see comments in column U for reasons as to why)</t>
  </si>
  <si>
    <t>Data deleted from the above table: (see comments in column U of BD_Road sheet for reasons as to why)</t>
  </si>
  <si>
    <t>No data</t>
  </si>
  <si>
    <t>Note: there are no railways in Malta, Liechtenstein or Iceland</t>
  </si>
  <si>
    <t>Additional notes:</t>
  </si>
  <si>
    <t>Data for the following MS have been deleted as limited data was available for either road, rail, IWW, sea or air and this made the data set inconsistent.</t>
  </si>
  <si>
    <t>See BD_Road sheet for further info</t>
  </si>
  <si>
    <t>Note: Excludes CY, BE, BU, GR, LU, NL, SL, PO, IR, IT, LT and SE</t>
  </si>
  <si>
    <t>Check:</t>
  </si>
  <si>
    <t>EEA32 (without various Countries - see below for list)</t>
  </si>
  <si>
    <t>EU27 (without various Countries - see below for list)</t>
  </si>
  <si>
    <t>They are:</t>
  </si>
  <si>
    <t>** Those countries that are excluded due to incomplete datasets being available - see BD_road sheet for reasons why...</t>
  </si>
  <si>
    <t>Count countries excluded</t>
  </si>
  <si>
    <t>EEA32 excl various MS **</t>
  </si>
  <si>
    <t>EU27 excl various MS **</t>
  </si>
  <si>
    <t>Billion Euros</t>
  </si>
  <si>
    <t>Check that there is no data left to gap fill</t>
  </si>
  <si>
    <t>Check that gap filing has been applied where appropriate</t>
  </si>
  <si>
    <t>There are no trains in Iceland</t>
  </si>
  <si>
    <t>Data deleted due to limited data being available for air</t>
  </si>
  <si>
    <t>Data deleted due to limited data being available for sea investment</t>
  </si>
  <si>
    <t xml:space="preserve">See below </t>
  </si>
  <si>
    <t>Base data of investments in airports infrastructure (million €) Current Prices EEA32 without Belgium, Bulgaria, Cyprus, Greece, Iceland, Ireland, Italy, Latvia, Luxembourg, Netherlands, Poland, Slovenia, Sweden &amp; Turkey</t>
  </si>
  <si>
    <t>Base data of investments in sea port infrastructure (million €) Current Prices EEA32 without Belgium, Bulgaria, Cyprus, Greece, Iceland, Ireland, Italy, Latvia, Luxembourg, Netherlands, Poland, Slovenia, Sweden &amp; Turkey (only for the countries with sea ports)</t>
  </si>
  <si>
    <t>Investment in inland waterways infrastructure (million €) Current Prices EEA32 without Belgium, Bulgaria, Cyprus, Greece, Iceland, Ireland, Italy, Latvia, Luxembourg, Netherlands, Poland, Slovenia, Sweden, Turkey and the UK (and countries without IWW infrastructure)</t>
  </si>
  <si>
    <t>Investments in rail infrastructure (million €) Current Prices for EEA32 without Belgium, Bulgaria, Cyprus, Greece, Iceland, Ireland, Italy, Latvia, Luxembourg, Netherlands, Poland, Slovenia, Sweden &amp; Turkey</t>
  </si>
  <si>
    <t>Investments in road infrastructure (million €) Current Prices for EEA32 without Belgium, Bulgaria, Cyprus, Greece, Iceland Ireland, Italy, Latvia, Luxembourg, Netherlands, Poland, Slovenia, Sweden &amp; Turkey</t>
  </si>
  <si>
    <t>There are no trains in Malta</t>
  </si>
  <si>
    <t>Total railway length only 5.9 miles. Runs between Switzerland and Austria</t>
  </si>
  <si>
    <t>No sea coast</t>
  </si>
  <si>
    <t>Data deleted due to no sea or air data being available</t>
  </si>
  <si>
    <t>Data deleted to limited road, IWW, sea and air data being available. For reference the data is shown below.</t>
  </si>
  <si>
    <t>Data deleted due to no sea data being available</t>
  </si>
  <si>
    <t>No IWW</t>
  </si>
  <si>
    <t>There are no airports in LI</t>
  </si>
  <si>
    <t>There was an error in the EEA32 calculation, which I've now corrected</t>
  </si>
  <si>
    <t>See datablock below for Countries that have been deleted from the analysis.</t>
  </si>
  <si>
    <t>Belgium, Bulgaria, Cyprus, Greece, Iceland, Ireland, Italy, Latvia, Luxembourg, Malta, Netherlands, Poland, Romania, Slovenia, Sweden &amp; Turkey</t>
  </si>
  <si>
    <t>without BE, EL (GR), NL, IE, IT, LU &amp; SE</t>
  </si>
  <si>
    <t>Without BG, CY, LT, MT, PL, RO and Slovenia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</si>
</sst>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#,##0.0"/>
    <numFmt numFmtId="168" formatCode="#,##0.00000"/>
    <numFmt numFmtId="169" formatCode="0.000"/>
    <numFmt numFmtId="170" formatCode="0.0000"/>
    <numFmt numFmtId="171" formatCode="_(* #,##0.000_);_(* \(#,##0.000\);_(* &quot;-&quot;??_);_(@_)"/>
    <numFmt numFmtId="172" formatCode="#,##0.000"/>
  </numFmts>
  <fonts count="47">
    <font>
      <sz val="10"/>
      <name val="Arial"/>
      <family val="0"/>
    </font>
    <font>
      <sz val="10"/>
      <color indexed="8"/>
      <name val="Verdana"/>
      <family val="2"/>
    </font>
    <font>
      <sz val="9"/>
      <color indexed="8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5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9.25"/>
      <color indexed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22" borderId="0" xfId="0" applyFont="1" applyFill="1" applyAlignment="1">
      <alignment/>
    </xf>
    <xf numFmtId="0" fontId="5" fillId="0" borderId="0" xfId="0" applyFont="1" applyAlignment="1">
      <alignment/>
    </xf>
    <xf numFmtId="0" fontId="0" fillId="26" borderId="0" xfId="0" applyFont="1" applyFill="1" applyBorder="1" applyAlignment="1">
      <alignment/>
    </xf>
    <xf numFmtId="2" fontId="0" fillId="25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3" fillId="0" borderId="0" xfId="52" applyAlignment="1" applyProtection="1">
      <alignment/>
      <protection/>
    </xf>
    <xf numFmtId="1" fontId="9" fillId="0" borderId="0" xfId="0" applyNumberFormat="1" applyFont="1" applyAlignment="1">
      <alignment/>
    </xf>
    <xf numFmtId="1" fontId="9" fillId="2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66" fontId="10" fillId="0" borderId="0" xfId="42" applyNumberFormat="1" applyFont="1" applyAlignment="1">
      <alignment/>
    </xf>
    <xf numFmtId="2" fontId="8" fillId="27" borderId="0" xfId="0" applyNumberFormat="1" applyFont="1" applyFill="1" applyAlignment="1">
      <alignment/>
    </xf>
    <xf numFmtId="2" fontId="8" fillId="25" borderId="0" xfId="0" applyNumberFormat="1" applyFont="1" applyFill="1" applyAlignment="1">
      <alignment/>
    </xf>
    <xf numFmtId="2" fontId="12" fillId="25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164" fontId="10" fillId="0" borderId="0" xfId="42" applyFont="1" applyAlignment="1">
      <alignment/>
    </xf>
    <xf numFmtId="164" fontId="10" fillId="0" borderId="0" xfId="42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2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9" fillId="20" borderId="0" xfId="0" applyNumberFormat="1" applyFont="1" applyFill="1" applyBorder="1" applyAlignment="1">
      <alignment vertical="center"/>
    </xf>
    <xf numFmtId="1" fontId="10" fillId="24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10" fillId="23" borderId="0" xfId="0" applyNumberFormat="1" applyFont="1" applyFill="1" applyAlignment="1">
      <alignment/>
    </xf>
    <xf numFmtId="3" fontId="10" fillId="22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" fontId="10" fillId="23" borderId="0" xfId="0" applyNumberFormat="1" applyFont="1" applyFill="1" applyAlignment="1">
      <alignment/>
    </xf>
    <xf numFmtId="0" fontId="9" fillId="20" borderId="10" xfId="0" applyNumberFormat="1" applyFont="1" applyFill="1" applyBorder="1" applyAlignment="1">
      <alignment vertical="center"/>
    </xf>
    <xf numFmtId="3" fontId="10" fillId="23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22" borderId="0" xfId="0" applyNumberFormat="1" applyFont="1" applyFill="1" applyBorder="1" applyAlignment="1">
      <alignment vertical="center"/>
    </xf>
    <xf numFmtId="3" fontId="10" fillId="23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9" fillId="2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10" borderId="12" xfId="0" applyFont="1" applyFill="1" applyBorder="1" applyAlignment="1">
      <alignment/>
    </xf>
    <xf numFmtId="0" fontId="9" fillId="10" borderId="13" xfId="0" applyFont="1" applyFill="1" applyBorder="1" applyAlignment="1">
      <alignment vertical="center"/>
    </xf>
    <xf numFmtId="165" fontId="10" fillId="0" borderId="0" xfId="0" applyNumberFormat="1" applyFont="1" applyAlignment="1">
      <alignment/>
    </xf>
    <xf numFmtId="0" fontId="10" fillId="20" borderId="11" xfId="0" applyFont="1" applyFill="1" applyBorder="1" applyAlignment="1">
      <alignment/>
    </xf>
    <xf numFmtId="0" fontId="10" fillId="20" borderId="11" xfId="0" applyFont="1" applyFill="1" applyBorder="1" applyAlignment="1">
      <alignment vertical="center"/>
    </xf>
    <xf numFmtId="0" fontId="17" fillId="20" borderId="11" xfId="0" applyFont="1" applyFill="1" applyBorder="1" applyAlignment="1">
      <alignment/>
    </xf>
    <xf numFmtId="0" fontId="17" fillId="20" borderId="11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3" fontId="9" fillId="0" borderId="11" xfId="0" applyNumberFormat="1" applyFont="1" applyFill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0" fontId="9" fillId="10" borderId="12" xfId="0" applyFont="1" applyFill="1" applyBorder="1" applyAlignment="1">
      <alignment vertical="center"/>
    </xf>
    <xf numFmtId="0" fontId="9" fillId="20" borderId="12" xfId="0" applyFont="1" applyFill="1" applyBorder="1" applyAlignment="1">
      <alignment/>
    </xf>
    <xf numFmtId="0" fontId="9" fillId="20" borderId="13" xfId="0" applyFont="1" applyFill="1" applyBorder="1" applyAlignment="1">
      <alignment/>
    </xf>
    <xf numFmtId="167" fontId="9" fillId="0" borderId="11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0" fillId="1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9" fillId="20" borderId="14" xfId="0" applyNumberFormat="1" applyFont="1" applyFill="1" applyBorder="1" applyAlignment="1">
      <alignment vertical="center"/>
    </xf>
    <xf numFmtId="0" fontId="0" fillId="19" borderId="0" xfId="0" applyFont="1" applyFill="1" applyAlignment="1">
      <alignment/>
    </xf>
    <xf numFmtId="2" fontId="10" fillId="10" borderId="11" xfId="0" applyNumberFormat="1" applyFont="1" applyFill="1" applyBorder="1" applyAlignment="1">
      <alignment/>
    </xf>
    <xf numFmtId="0" fontId="9" fillId="20" borderId="11" xfId="0" applyFont="1" applyFill="1" applyBorder="1" applyAlignment="1">
      <alignment/>
    </xf>
    <xf numFmtId="166" fontId="10" fillId="0" borderId="11" xfId="42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2" fontId="9" fillId="20" borderId="11" xfId="0" applyNumberFormat="1" applyFont="1" applyFill="1" applyBorder="1" applyAlignment="1">
      <alignment/>
    </xf>
    <xf numFmtId="0" fontId="9" fillId="20" borderId="1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/>
    </xf>
    <xf numFmtId="0" fontId="10" fillId="10" borderId="11" xfId="0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2" fillId="20" borderId="11" xfId="0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70" fontId="1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vertical="center"/>
    </xf>
    <xf numFmtId="3" fontId="10" fillId="11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13" borderId="0" xfId="0" applyFont="1" applyFill="1" applyAlignment="1">
      <alignment/>
    </xf>
    <xf numFmtId="166" fontId="0" fillId="13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3" fontId="18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13" borderId="0" xfId="0" applyFill="1" applyAlignment="1">
      <alignment/>
    </xf>
    <xf numFmtId="169" fontId="10" fillId="0" borderId="0" xfId="0" applyNumberFormat="1" applyFont="1" applyAlignment="1">
      <alignment/>
    </xf>
    <xf numFmtId="0" fontId="10" fillId="24" borderId="0" xfId="0" applyFont="1" applyFill="1" applyAlignment="1">
      <alignment/>
    </xf>
    <xf numFmtId="0" fontId="19" fillId="0" borderId="0" xfId="0" applyFont="1" applyAlignment="1">
      <alignment horizontal="right"/>
    </xf>
    <xf numFmtId="0" fontId="10" fillId="11" borderId="0" xfId="0" applyFont="1" applyFill="1" applyAlignment="1">
      <alignment/>
    </xf>
    <xf numFmtId="0" fontId="10" fillId="26" borderId="0" xfId="0" applyFont="1" applyFill="1" applyBorder="1" applyAlignment="1">
      <alignment/>
    </xf>
    <xf numFmtId="171" fontId="10" fillId="0" borderId="0" xfId="42" applyNumberFormat="1" applyFont="1" applyAlignment="1">
      <alignment/>
    </xf>
    <xf numFmtId="0" fontId="1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9" fillId="20" borderId="0" xfId="0" applyFont="1" applyFill="1" applyAlignment="1">
      <alignment/>
    </xf>
    <xf numFmtId="3" fontId="10" fillId="20" borderId="0" xfId="0" applyNumberFormat="1" applyFont="1" applyFill="1" applyBorder="1" applyAlignment="1">
      <alignment/>
    </xf>
    <xf numFmtId="0" fontId="10" fillId="20" borderId="0" xfId="0" applyFont="1" applyFill="1" applyBorder="1" applyAlignment="1">
      <alignment/>
    </xf>
    <xf numFmtId="0" fontId="10" fillId="20" borderId="0" xfId="0" applyFont="1" applyFill="1" applyBorder="1" applyAlignment="1">
      <alignment horizontal="center"/>
    </xf>
    <xf numFmtId="0" fontId="0" fillId="20" borderId="0" xfId="0" applyFill="1" applyAlignment="1">
      <alignment/>
    </xf>
    <xf numFmtId="3" fontId="10" fillId="20" borderId="0" xfId="0" applyNumberFormat="1" applyFont="1" applyFill="1" applyAlignment="1">
      <alignment/>
    </xf>
    <xf numFmtId="3" fontId="10" fillId="20" borderId="0" xfId="0" applyNumberFormat="1" applyFont="1" applyFill="1" applyBorder="1" applyAlignment="1">
      <alignment horizontal="right" vertical="center"/>
    </xf>
    <xf numFmtId="3" fontId="10" fillId="20" borderId="0" xfId="0" applyNumberFormat="1" applyFont="1" applyFill="1" applyBorder="1" applyAlignment="1">
      <alignment horizontal="right"/>
    </xf>
    <xf numFmtId="3" fontId="10" fillId="2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/>
    </xf>
    <xf numFmtId="170" fontId="10" fillId="0" borderId="0" xfId="58" applyNumberFormat="1" applyFont="1" applyAlignment="1">
      <alignment/>
    </xf>
    <xf numFmtId="10" fontId="4" fillId="0" borderId="0" xfId="58" applyNumberFormat="1" applyFont="1" applyFill="1" applyBorder="1" applyAlignment="1">
      <alignment vertical="center"/>
    </xf>
    <xf numFmtId="169" fontId="0" fillId="0" borderId="0" xfId="58" applyNumberFormat="1" applyFont="1" applyFill="1" applyBorder="1" applyAlignment="1">
      <alignment vertical="center"/>
    </xf>
    <xf numFmtId="1" fontId="10" fillId="2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 in infrastructure in EEA32 Member Countries</a:t>
            </a:r>
          </a:p>
        </c:rich>
      </c:tx>
      <c:layout>
        <c:manualLayout>
          <c:xMode val="factor"/>
          <c:yMode val="factor"/>
          <c:x val="-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55"/>
          <c:w val="0.8155"/>
          <c:h val="0.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'BD Aggreg'!$B$38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'BD Aggreg'!$C$37:$R$37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Aggreg'!$C$25:$R$25</c:f>
              <c:numCache>
                <c:ptCount val="16"/>
                <c:pt idx="0">
                  <c:v>38145.68182596093</c:v>
                </c:pt>
                <c:pt idx="1">
                  <c:v>36849.919029665194</c:v>
                </c:pt>
                <c:pt idx="2">
                  <c:v>36867.226968488554</c:v>
                </c:pt>
                <c:pt idx="3">
                  <c:v>35901.442458271165</c:v>
                </c:pt>
                <c:pt idx="4">
                  <c:v>36222.21213809453</c:v>
                </c:pt>
                <c:pt idx="5">
                  <c:v>36737.72812462972</c:v>
                </c:pt>
                <c:pt idx="6">
                  <c:v>36472.10809677392</c:v>
                </c:pt>
                <c:pt idx="7">
                  <c:v>36407.34193144261</c:v>
                </c:pt>
                <c:pt idx="8">
                  <c:v>39742.316286909525</c:v>
                </c:pt>
                <c:pt idx="9">
                  <c:v>41293.316016405064</c:v>
                </c:pt>
                <c:pt idx="10">
                  <c:v>42635.93616595236</c:v>
                </c:pt>
                <c:pt idx="11">
                  <c:v>42161.94846148543</c:v>
                </c:pt>
                <c:pt idx="12">
                  <c:v>45928.165003058566</c:v>
                </c:pt>
                <c:pt idx="13">
                  <c:v>48400.56261874815</c:v>
                </c:pt>
                <c:pt idx="14">
                  <c:v>49325.29194682593</c:v>
                </c:pt>
                <c:pt idx="15">
                  <c:v>48922.044899788256</c:v>
                </c:pt>
              </c:numCache>
            </c:numRef>
          </c:val>
        </c:ser>
        <c:ser>
          <c:idx val="1"/>
          <c:order val="1"/>
          <c:tx>
            <c:strRef>
              <c:f>'BD Aggreg'!$B$39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'BD Aggreg'!$C$37:$R$37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Aggreg'!$C$26:$R$26</c:f>
              <c:numCache>
                <c:ptCount val="16"/>
                <c:pt idx="0">
                  <c:v>15153.466916155397</c:v>
                </c:pt>
                <c:pt idx="1">
                  <c:v>14572.50778887614</c:v>
                </c:pt>
                <c:pt idx="2">
                  <c:v>14896.227254581705</c:v>
                </c:pt>
                <c:pt idx="3">
                  <c:v>14912.734912349362</c:v>
                </c:pt>
                <c:pt idx="4">
                  <c:v>15665.83657277825</c:v>
                </c:pt>
                <c:pt idx="5">
                  <c:v>16136.562790980455</c:v>
                </c:pt>
                <c:pt idx="6">
                  <c:v>16384.206257372498</c:v>
                </c:pt>
                <c:pt idx="7">
                  <c:v>20783.12581880743</c:v>
                </c:pt>
                <c:pt idx="8">
                  <c:v>18638.405587892452</c:v>
                </c:pt>
                <c:pt idx="9">
                  <c:v>19729.067930234658</c:v>
                </c:pt>
                <c:pt idx="10">
                  <c:v>24096.961683945246</c:v>
                </c:pt>
                <c:pt idx="11">
                  <c:v>25542.569454210046</c:v>
                </c:pt>
                <c:pt idx="12">
                  <c:v>23855.437881337173</c:v>
                </c:pt>
                <c:pt idx="13">
                  <c:v>22400.4245113283</c:v>
                </c:pt>
                <c:pt idx="14">
                  <c:v>24409.345490874923</c:v>
                </c:pt>
                <c:pt idx="15">
                  <c:v>26163.67715284475</c:v>
                </c:pt>
              </c:numCache>
            </c:numRef>
          </c:val>
        </c:ser>
        <c:ser>
          <c:idx val="2"/>
          <c:order val="2"/>
          <c:tx>
            <c:strRef>
              <c:f>'BD Aggreg'!$B$40</c:f>
              <c:strCache>
                <c:ptCount val="1"/>
                <c:pt idx="0">
                  <c:v>IWW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'BD Aggreg'!$C$37:$R$37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Aggreg'!$C$27:$R$27</c:f>
              <c:numCache>
                <c:ptCount val="16"/>
                <c:pt idx="0">
                  <c:v>757.8466789619645</c:v>
                </c:pt>
                <c:pt idx="1">
                  <c:v>900.7119812609159</c:v>
                </c:pt>
                <c:pt idx="2">
                  <c:v>915.3549584530347</c:v>
                </c:pt>
                <c:pt idx="3">
                  <c:v>856.0822142510295</c:v>
                </c:pt>
                <c:pt idx="4">
                  <c:v>850.4318330837077</c:v>
                </c:pt>
                <c:pt idx="5">
                  <c:v>881.4542536234497</c:v>
                </c:pt>
                <c:pt idx="6">
                  <c:v>969.6667607913186</c:v>
                </c:pt>
                <c:pt idx="7">
                  <c:v>977.952031262037</c:v>
                </c:pt>
                <c:pt idx="8">
                  <c:v>972.9712572717443</c:v>
                </c:pt>
                <c:pt idx="9">
                  <c:v>979.5524326610135</c:v>
                </c:pt>
                <c:pt idx="10">
                  <c:v>970.1964395108013</c:v>
                </c:pt>
                <c:pt idx="11">
                  <c:v>986.2922035982724</c:v>
                </c:pt>
                <c:pt idx="12">
                  <c:v>936.5475417604255</c:v>
                </c:pt>
                <c:pt idx="13">
                  <c:v>937.3396969084273</c:v>
                </c:pt>
                <c:pt idx="14">
                  <c:v>1008.5199660658119</c:v>
                </c:pt>
                <c:pt idx="15">
                  <c:v>1021.5837034671306</c:v>
                </c:pt>
              </c:numCache>
            </c:numRef>
          </c:val>
        </c:ser>
        <c:ser>
          <c:idx val="3"/>
          <c:order val="3"/>
          <c:tx>
            <c:strRef>
              <c:f>'BD Aggreg'!$B$41</c:f>
              <c:strCache>
                <c:ptCount val="1"/>
                <c:pt idx="0">
                  <c:v>Sea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'BD Aggreg'!$C$37:$R$37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Aggreg'!$C$28:$R$28</c:f>
              <c:numCache>
                <c:ptCount val="16"/>
                <c:pt idx="0">
                  <c:v>1394.8942381414938</c:v>
                </c:pt>
                <c:pt idx="1">
                  <c:v>1417.9513235566806</c:v>
                </c:pt>
                <c:pt idx="2">
                  <c:v>1420.6792786643719</c:v>
                </c:pt>
                <c:pt idx="3">
                  <c:v>1604.850632931417</c:v>
                </c:pt>
                <c:pt idx="4">
                  <c:v>1556.7169261067943</c:v>
                </c:pt>
                <c:pt idx="5">
                  <c:v>1729.805383747168</c:v>
                </c:pt>
                <c:pt idx="6">
                  <c:v>1744.2542854499482</c:v>
                </c:pt>
                <c:pt idx="7">
                  <c:v>1830.7746149227744</c:v>
                </c:pt>
                <c:pt idx="8">
                  <c:v>1988.00105663909</c:v>
                </c:pt>
                <c:pt idx="9">
                  <c:v>2096.5964848178864</c:v>
                </c:pt>
                <c:pt idx="10">
                  <c:v>2671.8329133783222</c:v>
                </c:pt>
                <c:pt idx="11">
                  <c:v>2490.089608094419</c:v>
                </c:pt>
                <c:pt idx="12">
                  <c:v>2448.403130604844</c:v>
                </c:pt>
                <c:pt idx="13">
                  <c:v>2610.94498985909</c:v>
                </c:pt>
                <c:pt idx="14">
                  <c:v>2982.242856363989</c:v>
                </c:pt>
                <c:pt idx="15">
                  <c:v>3098.077092140085</c:v>
                </c:pt>
              </c:numCache>
            </c:numRef>
          </c:val>
        </c:ser>
        <c:ser>
          <c:idx val="4"/>
          <c:order val="4"/>
          <c:tx>
            <c:strRef>
              <c:f>'BD Aggreg'!$B$42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'BD Aggreg'!$C$37:$R$37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Aggreg'!$C$29:$R$29</c:f>
              <c:numCache>
                <c:ptCount val="16"/>
                <c:pt idx="0">
                  <c:v>3459.3968296143657</c:v>
                </c:pt>
                <c:pt idx="1">
                  <c:v>3150.318023656628</c:v>
                </c:pt>
                <c:pt idx="2">
                  <c:v>3077.5658279591516</c:v>
                </c:pt>
                <c:pt idx="3">
                  <c:v>3476.9184826487503</c:v>
                </c:pt>
                <c:pt idx="4">
                  <c:v>3196.339463353574</c:v>
                </c:pt>
                <c:pt idx="5">
                  <c:v>3824.7326318472324</c:v>
                </c:pt>
                <c:pt idx="6">
                  <c:v>4062.163736623325</c:v>
                </c:pt>
                <c:pt idx="7">
                  <c:v>4154.447546126688</c:v>
                </c:pt>
                <c:pt idx="8">
                  <c:v>4827.61471150733</c:v>
                </c:pt>
                <c:pt idx="9">
                  <c:v>5088.299865536078</c:v>
                </c:pt>
                <c:pt idx="10">
                  <c:v>5546.821258320382</c:v>
                </c:pt>
                <c:pt idx="11">
                  <c:v>6835.292414761019</c:v>
                </c:pt>
                <c:pt idx="12">
                  <c:v>6420.240476221709</c:v>
                </c:pt>
                <c:pt idx="13">
                  <c:v>6631.493961661881</c:v>
                </c:pt>
                <c:pt idx="14">
                  <c:v>6691.435095382228</c:v>
                </c:pt>
                <c:pt idx="15">
                  <c:v>8060.788596461916</c:v>
                </c:pt>
              </c:numCache>
            </c:numRef>
          </c:val>
        </c:ser>
        <c:overlap val="100"/>
        <c:gapWidth val="75"/>
        <c:axId val="16469428"/>
        <c:axId val="14007125"/>
      </c:barChart>
      <c:catAx>
        <c:axId val="16469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7125"/>
        <c:crosses val="autoZero"/>
        <c:auto val="1"/>
        <c:lblOffset val="100"/>
        <c:tickLblSkip val="1"/>
        <c:noMultiLvlLbl val="0"/>
      </c:catAx>
      <c:valAx>
        <c:axId val="14007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Investment (million Euro)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9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055"/>
          <c:y val="0.10225"/>
          <c:w val="0.07525"/>
          <c:h val="0.249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investment in infrastructure by mode (base year 2000)</a:t>
            </a:r>
          </a:p>
        </c:rich>
      </c:tx>
      <c:layout>
        <c:manualLayout>
          <c:xMode val="factor"/>
          <c:yMode val="factor"/>
          <c:x val="-0.05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38"/>
          <c:w val="0.7325"/>
          <c:h val="0.767"/>
        </c:manualLayout>
      </c:layout>
      <c:lineChart>
        <c:grouping val="standard"/>
        <c:varyColors val="0"/>
        <c:ser>
          <c:idx val="1"/>
          <c:order val="0"/>
          <c:tx>
            <c:strRef>
              <c:f>'BD Aggreg'!$B$56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'BD Aggreg'!$C$55:$R$55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Aggreg'!$C$56:$R$56</c:f>
              <c:numCache>
                <c:ptCount val="16"/>
                <c:pt idx="0">
                  <c:v>95.98253295197468</c:v>
                </c:pt>
                <c:pt idx="1">
                  <c:v>92.72212209181919</c:v>
                </c:pt>
                <c:pt idx="2">
                  <c:v>92.76567249461507</c:v>
                </c:pt>
                <c:pt idx="3">
                  <c:v>90.33555618421897</c:v>
                </c:pt>
                <c:pt idx="4">
                  <c:v>91.14267994999963</c:v>
                </c:pt>
                <c:pt idx="5">
                  <c:v>92.4398262532336</c:v>
                </c:pt>
                <c:pt idx="6">
                  <c:v>91.77147057426856</c:v>
                </c:pt>
                <c:pt idx="7">
                  <c:v>91.6085053236683</c:v>
                </c:pt>
                <c:pt idx="8">
                  <c:v>100</c:v>
                </c:pt>
                <c:pt idx="9">
                  <c:v>103.90264049608608</c:v>
                </c:pt>
                <c:pt idx="10">
                  <c:v>107.28095428095605</c:v>
                </c:pt>
                <c:pt idx="11">
                  <c:v>106.08830184206674</c:v>
                </c:pt>
                <c:pt idx="12">
                  <c:v>115.56489227123019</c:v>
                </c:pt>
                <c:pt idx="13">
                  <c:v>121.78596302573968</c:v>
                </c:pt>
                <c:pt idx="14">
                  <c:v>124.11277589039993</c:v>
                </c:pt>
                <c:pt idx="15">
                  <c:v>123.09812177681849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'BD Aggreg'!$B$57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'BD Aggreg'!$C$55:$R$55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Aggreg'!$C$57:$R$57</c:f>
              <c:numCache>
                <c:ptCount val="16"/>
                <c:pt idx="0">
                  <c:v>81.30237774200559</c:v>
                </c:pt>
                <c:pt idx="1">
                  <c:v>78.18537760731246</c:v>
                </c:pt>
                <c:pt idx="2">
                  <c:v>79.9222185842888</c:v>
                </c:pt>
                <c:pt idx="3">
                  <c:v>80.01078655588816</c:v>
                </c:pt>
                <c:pt idx="4">
                  <c:v>84.05137713579326</c:v>
                </c:pt>
                <c:pt idx="5">
                  <c:v>86.57694841377848</c:v>
                </c:pt>
                <c:pt idx="6">
                  <c:v>87.90562143371166</c:v>
                </c:pt>
                <c:pt idx="7">
                  <c:v>111.50699409775797</c:v>
                </c:pt>
                <c:pt idx="8">
                  <c:v>100</c:v>
                </c:pt>
                <c:pt idx="9">
                  <c:v>105.85169336078135</c:v>
                </c:pt>
                <c:pt idx="10">
                  <c:v>129.28660431983886</c:v>
                </c:pt>
                <c:pt idx="11">
                  <c:v>137.042674244639</c:v>
                </c:pt>
                <c:pt idx="12">
                  <c:v>127.99076492269121</c:v>
                </c:pt>
                <c:pt idx="13">
                  <c:v>120.18423145528962</c:v>
                </c:pt>
                <c:pt idx="14">
                  <c:v>130.96262647450533</c:v>
                </c:pt>
                <c:pt idx="15">
                  <c:v>140.3750821359995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'BD Aggreg'!$B$58</c:f>
              <c:strCache>
                <c:ptCount val="1"/>
                <c:pt idx="0">
                  <c:v>IWW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'BD Aggreg'!$C$55:$R$55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Aggreg'!$C$58:$R$58</c:f>
              <c:numCache>
                <c:ptCount val="16"/>
                <c:pt idx="0">
                  <c:v>77.88993490794384</c:v>
                </c:pt>
                <c:pt idx="1">
                  <c:v>92.57333909190218</c:v>
                </c:pt>
                <c:pt idx="2">
                  <c:v>94.07831440157149</c:v>
                </c:pt>
                <c:pt idx="3">
                  <c:v>87.98638272743256</c:v>
                </c:pt>
                <c:pt idx="4">
                  <c:v>87.40564808341381</c:v>
                </c:pt>
                <c:pt idx="5">
                  <c:v>90.59406915010908</c:v>
                </c:pt>
                <c:pt idx="6">
                  <c:v>99.66037059617857</c:v>
                </c:pt>
                <c:pt idx="7">
                  <c:v>100.51191378502371</c:v>
                </c:pt>
                <c:pt idx="8">
                  <c:v>100</c:v>
                </c:pt>
                <c:pt idx="9">
                  <c:v>100.67639977441092</c:v>
                </c:pt>
                <c:pt idx="10">
                  <c:v>99.71480989389926</c:v>
                </c:pt>
                <c:pt idx="11">
                  <c:v>101.36909967555266</c:v>
                </c:pt>
                <c:pt idx="12">
                  <c:v>96.25644486010279</c:v>
                </c:pt>
                <c:pt idx="13">
                  <c:v>96.3378609494355</c:v>
                </c:pt>
                <c:pt idx="14">
                  <c:v>103.65362373537607</c:v>
                </c:pt>
                <c:pt idx="15">
                  <c:v>104.99628800255599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'BD Aggreg'!$B$59</c:f>
              <c:strCache>
                <c:ptCount val="1"/>
                <c:pt idx="0">
                  <c:v>Sea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'BD Aggreg'!$C$55:$R$55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Aggreg'!$C$59:$R$59</c:f>
              <c:numCache>
                <c:ptCount val="16"/>
                <c:pt idx="0">
                  <c:v>70.16566885028215</c:v>
                </c:pt>
                <c:pt idx="1">
                  <c:v>71.3254813834891</c:v>
                </c:pt>
                <c:pt idx="2">
                  <c:v>71.46270239243077</c:v>
                </c:pt>
                <c:pt idx="3">
                  <c:v>80.72685009758365</c:v>
                </c:pt>
                <c:pt idx="4">
                  <c:v>78.30563876754555</c:v>
                </c:pt>
                <c:pt idx="5">
                  <c:v>87.01229699905558</c:v>
                </c:pt>
                <c:pt idx="6">
                  <c:v>87.73910253341516</c:v>
                </c:pt>
                <c:pt idx="7">
                  <c:v>92.09122946935842</c:v>
                </c:pt>
                <c:pt idx="8">
                  <c:v>100</c:v>
                </c:pt>
                <c:pt idx="9">
                  <c:v>105.4625437856853</c:v>
                </c:pt>
                <c:pt idx="10">
                  <c:v>134.3979624384766</c:v>
                </c:pt>
                <c:pt idx="11">
                  <c:v>125.25594992912926</c:v>
                </c:pt>
                <c:pt idx="12">
                  <c:v>123.15904573733522</c:v>
                </c:pt>
                <c:pt idx="13">
                  <c:v>131.3351912535272</c:v>
                </c:pt>
                <c:pt idx="14">
                  <c:v>150.01213638214875</c:v>
                </c:pt>
                <c:pt idx="15">
                  <c:v>155.8388051049473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'BD Aggreg'!$B$60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'BD Aggreg'!$C$55:$R$55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'BD Aggreg'!$C$60:$R$60</c:f>
              <c:numCache>
                <c:ptCount val="16"/>
                <c:pt idx="0">
                  <c:v>71.65851121814639</c:v>
                </c:pt>
                <c:pt idx="1">
                  <c:v>65.25620232591017</c:v>
                </c:pt>
                <c:pt idx="2">
                  <c:v>63.74920145601762</c:v>
                </c:pt>
                <c:pt idx="3">
                  <c:v>72.02145760226067</c:v>
                </c:pt>
                <c:pt idx="4">
                  <c:v>66.2094979480162</c:v>
                </c:pt>
                <c:pt idx="5">
                  <c:v>79.2261367240103</c:v>
                </c:pt>
                <c:pt idx="6">
                  <c:v>84.14432342623698</c:v>
                </c:pt>
                <c:pt idx="7">
                  <c:v>86.05590533610629</c:v>
                </c:pt>
                <c:pt idx="8">
                  <c:v>100</c:v>
                </c:pt>
                <c:pt idx="9">
                  <c:v>105.39987487831964</c:v>
                </c:pt>
                <c:pt idx="10">
                  <c:v>114.89776193403995</c:v>
                </c:pt>
                <c:pt idx="11">
                  <c:v>141.58736401370422</c:v>
                </c:pt>
                <c:pt idx="12">
                  <c:v>132.989910336426</c:v>
                </c:pt>
                <c:pt idx="13">
                  <c:v>137.3658495541233</c:v>
                </c:pt>
                <c:pt idx="14">
                  <c:v>138.60747999280488</c:v>
                </c:pt>
                <c:pt idx="15">
                  <c:v>166.97249217606037</c:v>
                </c:pt>
              </c:numCache>
            </c:numRef>
          </c:val>
          <c:smooth val="0"/>
        </c:ser>
        <c:ser>
          <c:idx val="0"/>
          <c:order val="5"/>
          <c:tx>
            <c:v>Total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'BD Aggreg'!$C$61:$R$61</c:f>
              <c:numCache>
                <c:ptCount val="16"/>
                <c:pt idx="0">
                  <c:v>89.03113462718689</c:v>
                </c:pt>
                <c:pt idx="1">
                  <c:v>85.9785436671325</c:v>
                </c:pt>
                <c:pt idx="2">
                  <c:v>86.4102334427685</c:v>
                </c:pt>
                <c:pt idx="3">
                  <c:v>85.76790304101684</c:v>
                </c:pt>
                <c:pt idx="4">
                  <c:v>86.88550309647498</c:v>
                </c:pt>
                <c:pt idx="5">
                  <c:v>89.63412822440814</c:v>
                </c:pt>
                <c:pt idx="6">
                  <c:v>90.120933901446</c:v>
                </c:pt>
                <c:pt idx="7">
                  <c:v>96.95377359812215</c:v>
                </c:pt>
                <c:pt idx="8">
                  <c:v>100</c:v>
                </c:pt>
                <c:pt idx="9">
                  <c:v>104.56030730800714</c:v>
                </c:pt>
                <c:pt idx="10">
                  <c:v>114.73861480946272</c:v>
                </c:pt>
                <c:pt idx="11">
                  <c:v>117.90389447741327</c:v>
                </c:pt>
                <c:pt idx="12">
                  <c:v>120.28052786979906</c:v>
                </c:pt>
                <c:pt idx="13">
                  <c:v>122.38417950022813</c:v>
                </c:pt>
                <c:pt idx="14">
                  <c:v>127.57702439179025</c:v>
                </c:pt>
                <c:pt idx="15">
                  <c:v>131.88315382936062</c:v>
                </c:pt>
              </c:numCache>
            </c:numRef>
          </c:val>
          <c:smooth val="0"/>
        </c:ser>
        <c:marker val="1"/>
        <c:axId val="58955262"/>
        <c:axId val="60835311"/>
      </c:lineChart>
      <c:catAx>
        <c:axId val="5895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5311"/>
        <c:crosses val="autoZero"/>
        <c:auto val="1"/>
        <c:lblOffset val="100"/>
        <c:tickLblSkip val="1"/>
        <c:noMultiLvlLbl val="0"/>
      </c:catAx>
      <c:valAx>
        <c:axId val="6083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 in investment relative to 2000 (2000=100)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5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268"/>
          <c:w val="0.136"/>
          <c:h val="0.3872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64"/>
          <c:w val="0.9465"/>
          <c:h val="0.806"/>
        </c:manualLayout>
      </c:layout>
      <c:lineChart>
        <c:grouping val="standard"/>
        <c:varyColors val="0"/>
        <c:ser>
          <c:idx val="2"/>
          <c:order val="0"/>
          <c:tx>
            <c:strRef>
              <c:f>DataExtract1!$A$3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DataExtract1!$B$3:$N$3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DataExtract1!$B$6:$N$6</c:f>
              <c:numCache>
                <c:ptCount val="13"/>
                <c:pt idx="0">
                  <c:v>0.5928052191995484</c:v>
                </c:pt>
                <c:pt idx="1">
                  <c:v>0.5870687729594021</c:v>
                </c:pt>
                <c:pt idx="2">
                  <c:v>0.57979515959062</c:v>
                </c:pt>
                <c:pt idx="3">
                  <c:v>0.5582370329069177</c:v>
                </c:pt>
                <c:pt idx="4">
                  <c:v>0.5413544602548835</c:v>
                </c:pt>
                <c:pt idx="5">
                  <c:v>0.5694098114376872</c:v>
                </c:pt>
                <c:pt idx="6">
                  <c:v>0.5803737680560318</c:v>
                </c:pt>
                <c:pt idx="7">
                  <c:v>0.5922119319687047</c:v>
                </c:pt>
                <c:pt idx="8">
                  <c:v>0.5782006251514028</c:v>
                </c:pt>
                <c:pt idx="9">
                  <c:v>0.6153449790333425</c:v>
                </c:pt>
                <c:pt idx="10">
                  <c:v>0.6359833171747775</c:v>
                </c:pt>
                <c:pt idx="11">
                  <c:v>0.629398546355644</c:v>
                </c:pt>
                <c:pt idx="12">
                  <c:v>0.607242359760468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DataExtract1!$A$8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DataExtract1!$B$3:$N$3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DataExtract1!$B$11:$N$11</c:f>
              <c:numCache>
                <c:ptCount val="13"/>
                <c:pt idx="0">
                  <c:v>0.24623932865247136</c:v>
                </c:pt>
                <c:pt idx="1">
                  <c:v>0.25390286543242735</c:v>
                </c:pt>
                <c:pt idx="2">
                  <c:v>0.2546673808162946</c:v>
                </c:pt>
                <c:pt idx="3">
                  <c:v>0.25077439075860813</c:v>
                </c:pt>
                <c:pt idx="4">
                  <c:v>0.3090321144904307</c:v>
                </c:pt>
                <c:pt idx="5">
                  <c:v>0.267042588425997</c:v>
                </c:pt>
                <c:pt idx="6">
                  <c:v>0.2772902396686849</c:v>
                </c:pt>
                <c:pt idx="7">
                  <c:v>0.33470610749297963</c:v>
                </c:pt>
                <c:pt idx="8">
                  <c:v>0.3502857473460573</c:v>
                </c:pt>
                <c:pt idx="9">
                  <c:v>0.31961485772281706</c:v>
                </c:pt>
                <c:pt idx="10">
                  <c:v>0.294341543073704</c:v>
                </c:pt>
                <c:pt idx="11">
                  <c:v>0.3114671188568198</c:v>
                </c:pt>
                <c:pt idx="12">
                  <c:v>0.32475529358694605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DataExtract1!$A$13</c:f>
              <c:strCache>
                <c:ptCount val="1"/>
                <c:pt idx="0">
                  <c:v>IWW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DataExtract1!$B$3:$N$3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DataExtract1!$B$16:$N$16</c:f>
              <c:numCache>
                <c:ptCount val="13"/>
                <c:pt idx="0">
                  <c:v>0.014135643860599203</c:v>
                </c:pt>
                <c:pt idx="1">
                  <c:v>0.01378330983294636</c:v>
                </c:pt>
                <c:pt idx="2">
                  <c:v>0.0139111190522642</c:v>
                </c:pt>
                <c:pt idx="3">
                  <c:v>0.01484158508239582</c:v>
                </c:pt>
                <c:pt idx="4">
                  <c:v>0.014541536567980077</c:v>
                </c:pt>
                <c:pt idx="5">
                  <c:v>0.013940289140114323</c:v>
                </c:pt>
                <c:pt idx="6">
                  <c:v>0.0137675195696579</c:v>
                </c:pt>
                <c:pt idx="7">
                  <c:v>0.013476000751935554</c:v>
                </c:pt>
                <c:pt idx="8">
                  <c:v>0.013525816275389093</c:v>
                </c:pt>
                <c:pt idx="9">
                  <c:v>0.012547852225533484</c:v>
                </c:pt>
                <c:pt idx="10">
                  <c:v>0.012316642152595722</c:v>
                </c:pt>
                <c:pt idx="11">
                  <c:v>0.012868874679885439</c:v>
                </c:pt>
                <c:pt idx="12">
                  <c:v>0.012680355043558363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DataExtract1!$A$18</c:f>
              <c:strCache>
                <c:ptCount val="1"/>
                <c:pt idx="0">
                  <c:v>SEA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DataExtract1!$B$3:$N$3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DataExtract1!$B$21:$N$21</c:f>
              <c:numCache>
                <c:ptCount val="13"/>
                <c:pt idx="0">
                  <c:v>0.026499320531291424</c:v>
                </c:pt>
                <c:pt idx="1">
                  <c:v>0.025230372241498437</c:v>
                </c:pt>
                <c:pt idx="2">
                  <c:v>0.027299804308204247</c:v>
                </c:pt>
                <c:pt idx="3">
                  <c:v>0.026697314406975082</c:v>
                </c:pt>
                <c:pt idx="4">
                  <c:v>0.027222476317446155</c:v>
                </c:pt>
                <c:pt idx="5">
                  <c:v>0.028483173920379808</c:v>
                </c:pt>
                <c:pt idx="6">
                  <c:v>0.02946747123683096</c:v>
                </c:pt>
                <c:pt idx="7">
                  <c:v>0.03711168262778558</c:v>
                </c:pt>
                <c:pt idx="8">
                  <c:v>0.03414859655735368</c:v>
                </c:pt>
                <c:pt idx="9">
                  <c:v>0.03280367445481168</c:v>
                </c:pt>
                <c:pt idx="10">
                  <c:v>0.034307813086623964</c:v>
                </c:pt>
                <c:pt idx="11">
                  <c:v>0.03805389171742721</c:v>
                </c:pt>
                <c:pt idx="12">
                  <c:v>0.038454722160625315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DataExtract1!$A$23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DataExtract1!$B$3:$N$3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DataExtract1!$B$26:$N$26</c:f>
              <c:numCache>
                <c:ptCount val="13"/>
                <c:pt idx="0">
                  <c:v>0.05741093622188705</c:v>
                </c:pt>
                <c:pt idx="1">
                  <c:v>0.05180443092649306</c:v>
                </c:pt>
                <c:pt idx="2">
                  <c:v>0.06036196520237787</c:v>
                </c:pt>
                <c:pt idx="3">
                  <c:v>0.06217491529411386</c:v>
                </c:pt>
                <c:pt idx="4">
                  <c:v>0.061774043082455904</c:v>
                </c:pt>
                <c:pt idx="5">
                  <c:v>0.06916786537373096</c:v>
                </c:pt>
                <c:pt idx="6">
                  <c:v>0.07151558777180682</c:v>
                </c:pt>
                <c:pt idx="7">
                  <c:v>0.07704518838027069</c:v>
                </c:pt>
                <c:pt idx="8">
                  <c:v>0.0937378487362304</c:v>
                </c:pt>
                <c:pt idx="9">
                  <c:v>0.08601830142716506</c:v>
                </c:pt>
                <c:pt idx="10">
                  <c:v>0.08713782029319961</c:v>
                </c:pt>
                <c:pt idx="11">
                  <c:v>0.08538377282402944</c:v>
                </c:pt>
                <c:pt idx="12">
                  <c:v>0.10005412281666483</c:v>
                </c:pt>
              </c:numCache>
            </c:numRef>
          </c:val>
          <c:smooth val="0"/>
        </c:ser>
        <c:marker val="1"/>
        <c:axId val="10646888"/>
        <c:axId val="28713129"/>
      </c:lineChart>
      <c:catAx>
        <c:axId val="106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3129"/>
        <c:crossesAt val="0"/>
        <c:auto val="1"/>
        <c:lblOffset val="100"/>
        <c:tickLblSkip val="1"/>
        <c:noMultiLvlLbl val="0"/>
      </c:catAx>
      <c:valAx>
        <c:axId val="28713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factor"/>
              <c:yMode val="factor"/>
              <c:x val="0.01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6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25"/>
          <c:y val="0.954"/>
          <c:w val="0.592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investment in road infrastructure relative to 1995</a:t>
            </a:r>
          </a:p>
        </c:rich>
      </c:tx>
      <c:layout>
        <c:manualLayout>
          <c:xMode val="factor"/>
          <c:yMode val="factor"/>
          <c:x val="-0.008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9875"/>
          <c:w val="0.81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DataExtract2!$A$4</c:f>
              <c:strCache>
                <c:ptCount val="1"/>
                <c:pt idx="0">
                  <c:v>EU12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DataExtract2!$E$5:$Q$5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DataExtract2!$E$9:$Q$9</c:f>
              <c:numCache>
                <c:ptCount val="13"/>
                <c:pt idx="0">
                  <c:v>100</c:v>
                </c:pt>
                <c:pt idx="1">
                  <c:v>111.19640588821613</c:v>
                </c:pt>
                <c:pt idx="2">
                  <c:v>212.50116982849607</c:v>
                </c:pt>
                <c:pt idx="3">
                  <c:v>216.66329997451905</c:v>
                </c:pt>
                <c:pt idx="4">
                  <c:v>179.00111560432583</c:v>
                </c:pt>
                <c:pt idx="5">
                  <c:v>170.4886836555184</c:v>
                </c:pt>
                <c:pt idx="6">
                  <c:v>168.16015117826575</c:v>
                </c:pt>
                <c:pt idx="7">
                  <c:v>246.71819669220386</c:v>
                </c:pt>
                <c:pt idx="8">
                  <c:v>257.38594577650645</c:v>
                </c:pt>
                <c:pt idx="9">
                  <c:v>587.0944595886472</c:v>
                </c:pt>
                <c:pt idx="10">
                  <c:v>761.2556058646173</c:v>
                </c:pt>
                <c:pt idx="11">
                  <c:v>566.714975475655</c:v>
                </c:pt>
                <c:pt idx="12">
                  <c:v>594.6306930475943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DataExtract2!$A$13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DataExtract2!$E$5:$Q$5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DataExtract2!$E$18:$Q$18</c:f>
              <c:numCache>
                <c:ptCount val="13"/>
                <c:pt idx="0">
                  <c:v>100</c:v>
                </c:pt>
                <c:pt idx="1">
                  <c:v>101.23788051832013</c:v>
                </c:pt>
                <c:pt idx="2">
                  <c:v>101.28336311482826</c:v>
                </c:pt>
                <c:pt idx="3">
                  <c:v>100.30035175524816</c:v>
                </c:pt>
                <c:pt idx="4">
                  <c:v>99.52643933385048</c:v>
                </c:pt>
                <c:pt idx="5">
                  <c:v>109.99683333093262</c:v>
                </c:pt>
                <c:pt idx="6">
                  <c:v>114.35856398570769</c:v>
                </c:pt>
                <c:pt idx="7">
                  <c:v>116.63075003857699</c:v>
                </c:pt>
                <c:pt idx="8">
                  <c:v>115.64279958441671</c:v>
                </c:pt>
                <c:pt idx="9">
                  <c:v>122.13024163575355</c:v>
                </c:pt>
                <c:pt idx="10">
                  <c:v>126.15304976665765</c:v>
                </c:pt>
                <c:pt idx="11">
                  <c:v>131.99427176583376</c:v>
                </c:pt>
                <c:pt idx="12">
                  <c:v>130.19050894691634</c:v>
                </c:pt>
              </c:numCache>
            </c:numRef>
          </c:val>
          <c:smooth val="0"/>
        </c:ser>
        <c:marker val="1"/>
        <c:axId val="57091570"/>
        <c:axId val="44062083"/>
      </c:lineChart>
      <c:catAx>
        <c:axId val="5709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2083"/>
        <c:crosses val="autoZero"/>
        <c:auto val="1"/>
        <c:lblOffset val="100"/>
        <c:tickLblSkip val="1"/>
        <c:noMultiLvlLbl val="0"/>
      </c:catAx>
      <c:valAx>
        <c:axId val="4406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Investment in road infrastructure relative to 1995 (1995=100)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1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108"/>
          <c:w val="0.0767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>
    <tabColor indexed="11"/>
  </sheetPr>
  <sheetViews>
    <sheetView workbookViewId="0" zoomScale="8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2"/>
  </sheetPr>
  <sheetViews>
    <sheetView tabSelected="1" workbookViewId="0" zoomScale="8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7">
    <tabColor indexed="52"/>
  </sheetPr>
  <sheetViews>
    <sheetView workbookViewId="0" zoomScale="8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isions\individual\Applic\Conjoncture\Template\MaquetteGraphique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Maquette"/>
      <sheetName val="Data Import"/>
      <sheetName val="RAIL"/>
      <sheetName val="ROAD"/>
      <sheetName val="WATER"/>
      <sheetName val="ECONOMIC"/>
      <sheetName val="Graph-T"/>
      <sheetName val="DataGraphAgg"/>
      <sheetName val="Graph-C"/>
    </sheetNames>
    <sheetDataSet>
      <sheetData sheetId="1">
        <row r="1">
          <cell r="A1" t="str">
            <v>TreeYear</v>
          </cell>
          <cell r="B1" t="str">
            <v>Type</v>
          </cell>
          <cell r="C1" t="str">
            <v>M01</v>
          </cell>
          <cell r="D1" t="str">
            <v>M02</v>
          </cell>
          <cell r="E1" t="str">
            <v>M03</v>
          </cell>
          <cell r="F1" t="str">
            <v>Q1</v>
          </cell>
          <cell r="G1" t="str">
            <v>M04</v>
          </cell>
          <cell r="H1" t="str">
            <v>M05</v>
          </cell>
          <cell r="I1" t="str">
            <v>M06</v>
          </cell>
          <cell r="J1" t="str">
            <v>Q2</v>
          </cell>
          <cell r="K1" t="str">
            <v>M07</v>
          </cell>
          <cell r="L1" t="str">
            <v>M08</v>
          </cell>
          <cell r="M1" t="str">
            <v>M09</v>
          </cell>
          <cell r="N1" t="str">
            <v>Q3</v>
          </cell>
          <cell r="O1" t="str">
            <v>M10</v>
          </cell>
          <cell r="P1" t="str">
            <v>M11</v>
          </cell>
          <cell r="Q1" t="str">
            <v>M12</v>
          </cell>
          <cell r="R1" t="str">
            <v>Q4</v>
          </cell>
          <cell r="S1" t="str">
            <v>Y</v>
          </cell>
          <cell r="T1" t="str">
            <v>Data_Year</v>
          </cell>
        </row>
        <row r="2">
          <cell r="A2" t="str">
            <v>01.1-1994</v>
          </cell>
          <cell r="B2" t="str">
            <v>crude</v>
          </cell>
          <cell r="C2">
            <v>184.6</v>
          </cell>
          <cell r="D2">
            <v>239.3</v>
          </cell>
          <cell r="E2">
            <v>238.4</v>
          </cell>
          <cell r="F2">
            <v>662.3</v>
          </cell>
          <cell r="G2">
            <v>223.7</v>
          </cell>
          <cell r="H2">
            <v>219.8</v>
          </cell>
          <cell r="I2">
            <v>238.4</v>
          </cell>
          <cell r="J2">
            <v>681.9</v>
          </cell>
          <cell r="K2">
            <v>239.4</v>
          </cell>
          <cell r="L2">
            <v>252.6</v>
          </cell>
          <cell r="M2">
            <v>254.7</v>
          </cell>
          <cell r="N2">
            <v>746.7</v>
          </cell>
          <cell r="O2">
            <v>288.7</v>
          </cell>
          <cell r="P2">
            <v>336.7</v>
          </cell>
          <cell r="Q2">
            <v>286.1</v>
          </cell>
          <cell r="R2">
            <v>911.5</v>
          </cell>
          <cell r="S2">
            <v>3002.4</v>
          </cell>
          <cell r="T2">
            <v>1994</v>
          </cell>
        </row>
        <row r="3">
          <cell r="A3" t="str">
            <v>01.1-1995</v>
          </cell>
          <cell r="B3" t="str">
            <v>crude</v>
          </cell>
          <cell r="F3">
            <v>711.3</v>
          </cell>
          <cell r="J3">
            <v>773.9</v>
          </cell>
          <cell r="N3">
            <v>685.2</v>
          </cell>
          <cell r="R3">
            <v>834.6</v>
          </cell>
          <cell r="S3">
            <v>3005</v>
          </cell>
          <cell r="T3">
            <v>1995</v>
          </cell>
        </row>
        <row r="4">
          <cell r="A4" t="str">
            <v>01.1-1996</v>
          </cell>
          <cell r="B4" t="str">
            <v>crude</v>
          </cell>
          <cell r="F4">
            <v>662.2</v>
          </cell>
          <cell r="J4">
            <v>643.2</v>
          </cell>
          <cell r="N4">
            <v>736.5</v>
          </cell>
          <cell r="R4">
            <v>873.1</v>
          </cell>
          <cell r="S4">
            <v>2915</v>
          </cell>
          <cell r="T4">
            <v>1996</v>
          </cell>
        </row>
        <row r="5">
          <cell r="A5" t="str">
            <v>01.1-1997</v>
          </cell>
          <cell r="B5" t="str">
            <v>crude</v>
          </cell>
          <cell r="F5">
            <v>641.9</v>
          </cell>
          <cell r="J5">
            <v>809.7</v>
          </cell>
          <cell r="N5">
            <v>785.7</v>
          </cell>
          <cell r="R5">
            <v>904.8</v>
          </cell>
          <cell r="S5">
            <v>3142.1</v>
          </cell>
          <cell r="T5">
            <v>1997</v>
          </cell>
        </row>
        <row r="6">
          <cell r="A6" t="str">
            <v>01.1-1998</v>
          </cell>
          <cell r="B6" t="str">
            <v>crude</v>
          </cell>
          <cell r="F6">
            <v>692.6</v>
          </cell>
          <cell r="J6">
            <v>733.7</v>
          </cell>
          <cell r="N6">
            <v>740.2</v>
          </cell>
          <cell r="R6">
            <v>933.1</v>
          </cell>
          <cell r="S6">
            <v>3099.7</v>
          </cell>
          <cell r="T6">
            <v>1998</v>
          </cell>
        </row>
        <row r="7">
          <cell r="A7" t="str">
            <v>01.2-1994</v>
          </cell>
          <cell r="B7" t="str">
            <v>crude</v>
          </cell>
          <cell r="C7">
            <v>390.4</v>
          </cell>
          <cell r="D7">
            <v>657</v>
          </cell>
          <cell r="E7">
            <v>824</v>
          </cell>
          <cell r="F7">
            <v>1871.4</v>
          </cell>
          <cell r="G7">
            <v>846.7</v>
          </cell>
          <cell r="H7">
            <v>735.1</v>
          </cell>
          <cell r="I7">
            <v>894</v>
          </cell>
          <cell r="J7">
            <v>2475.8</v>
          </cell>
          <cell r="K7">
            <v>763.6</v>
          </cell>
          <cell r="L7">
            <v>695.9</v>
          </cell>
          <cell r="M7">
            <v>864.1</v>
          </cell>
          <cell r="N7">
            <v>2323.6</v>
          </cell>
          <cell r="O7">
            <v>795.9</v>
          </cell>
          <cell r="P7">
            <v>1088</v>
          </cell>
          <cell r="Q7">
            <v>867.2</v>
          </cell>
          <cell r="R7">
            <v>2751.1</v>
          </cell>
          <cell r="S7">
            <v>9421.9</v>
          </cell>
          <cell r="T7">
            <v>1994</v>
          </cell>
        </row>
        <row r="8">
          <cell r="A8" t="str">
            <v>01.2-1995</v>
          </cell>
          <cell r="B8" t="str">
            <v>crude</v>
          </cell>
          <cell r="F8">
            <v>2234.1</v>
          </cell>
          <cell r="J8">
            <v>2603.1</v>
          </cell>
          <cell r="N8">
            <v>2620.4</v>
          </cell>
          <cell r="R8">
            <v>2697.5</v>
          </cell>
          <cell r="S8">
            <v>10155.1</v>
          </cell>
          <cell r="T8">
            <v>1995</v>
          </cell>
        </row>
        <row r="9">
          <cell r="A9" t="str">
            <v>01.2-1996</v>
          </cell>
          <cell r="B9" t="str">
            <v>crude</v>
          </cell>
          <cell r="F9">
            <v>2121.4</v>
          </cell>
          <cell r="J9">
            <v>2880.3</v>
          </cell>
          <cell r="N9">
            <v>2585.9</v>
          </cell>
          <cell r="R9">
            <v>2830.7</v>
          </cell>
          <cell r="S9">
            <v>10418.3</v>
          </cell>
          <cell r="T9">
            <v>1996</v>
          </cell>
        </row>
        <row r="10">
          <cell r="A10" t="str">
            <v>01.2-1997</v>
          </cell>
          <cell r="B10" t="str">
            <v>crude</v>
          </cell>
          <cell r="F10">
            <v>2093.2</v>
          </cell>
          <cell r="H10">
            <v>999999</v>
          </cell>
          <cell r="J10">
            <v>3213.4</v>
          </cell>
          <cell r="N10">
            <v>2788.7</v>
          </cell>
          <cell r="R10">
            <v>2961.3</v>
          </cell>
          <cell r="S10">
            <v>11056.7</v>
          </cell>
          <cell r="T10">
            <v>1997</v>
          </cell>
        </row>
        <row r="11">
          <cell r="A11" t="str">
            <v>01.2-1998</v>
          </cell>
          <cell r="B11" t="str">
            <v>crude</v>
          </cell>
          <cell r="F11">
            <v>2777.3</v>
          </cell>
          <cell r="J11">
            <v>3129</v>
          </cell>
          <cell r="N11">
            <v>2845.8</v>
          </cell>
          <cell r="R11">
            <v>2862.1</v>
          </cell>
          <cell r="S11">
            <v>11614.2</v>
          </cell>
          <cell r="T11">
            <v>1998</v>
          </cell>
        </row>
        <row r="12">
          <cell r="A12" t="str">
            <v>02-1994</v>
          </cell>
          <cell r="B12" t="str">
            <v>crude</v>
          </cell>
          <cell r="F12">
            <v>2355.9</v>
          </cell>
          <cell r="J12">
            <v>2551.1</v>
          </cell>
          <cell r="N12">
            <v>2250.1</v>
          </cell>
          <cell r="R12">
            <v>2472.1</v>
          </cell>
          <cell r="S12">
            <v>9629.2</v>
          </cell>
          <cell r="T12">
            <v>1994</v>
          </cell>
        </row>
        <row r="13">
          <cell r="A13" t="str">
            <v>02-1995</v>
          </cell>
          <cell r="B13" t="str">
            <v>crude</v>
          </cell>
          <cell r="F13">
            <v>2409</v>
          </cell>
          <cell r="J13">
            <v>2506</v>
          </cell>
          <cell r="N13">
            <v>2215</v>
          </cell>
          <cell r="R13">
            <v>2495</v>
          </cell>
          <cell r="S13">
            <v>9625</v>
          </cell>
          <cell r="T13">
            <v>1995</v>
          </cell>
        </row>
        <row r="14">
          <cell r="A14" t="str">
            <v>02-1996</v>
          </cell>
          <cell r="B14" t="str">
            <v>crude</v>
          </cell>
          <cell r="F14">
            <v>2480</v>
          </cell>
          <cell r="J14">
            <v>2564</v>
          </cell>
          <cell r="N14">
            <v>2240</v>
          </cell>
          <cell r="R14">
            <v>2405.5</v>
          </cell>
          <cell r="S14">
            <v>9689.5</v>
          </cell>
          <cell r="T14">
            <v>1996</v>
          </cell>
        </row>
        <row r="15">
          <cell r="A15" t="str">
            <v>02-1997</v>
          </cell>
          <cell r="B15" t="str">
            <v>crude</v>
          </cell>
          <cell r="F15">
            <v>2181</v>
          </cell>
          <cell r="J15">
            <v>2224</v>
          </cell>
          <cell r="N15">
            <v>1978.2</v>
          </cell>
          <cell r="R15">
            <v>2265.5</v>
          </cell>
          <cell r="S15">
            <v>8647.3</v>
          </cell>
          <cell r="T15">
            <v>1997</v>
          </cell>
        </row>
        <row r="16">
          <cell r="A16" t="str">
            <v>02-1998</v>
          </cell>
          <cell r="B16" t="str">
            <v>crude</v>
          </cell>
          <cell r="T16">
            <v>1998</v>
          </cell>
        </row>
        <row r="17">
          <cell r="A17" t="str">
            <v>03.1-1994</v>
          </cell>
          <cell r="B17" t="str">
            <v>crude</v>
          </cell>
          <cell r="C17">
            <v>233</v>
          </cell>
          <cell r="D17">
            <v>204</v>
          </cell>
          <cell r="E17">
            <v>245.2</v>
          </cell>
          <cell r="F17">
            <v>682.2</v>
          </cell>
          <cell r="G17">
            <v>213.9</v>
          </cell>
          <cell r="H17">
            <v>263.5</v>
          </cell>
          <cell r="I17">
            <v>243</v>
          </cell>
          <cell r="J17">
            <v>720.4</v>
          </cell>
          <cell r="K17">
            <v>222.5</v>
          </cell>
          <cell r="L17">
            <v>237.8</v>
          </cell>
          <cell r="M17">
            <v>216.9</v>
          </cell>
          <cell r="N17">
            <v>677.2</v>
          </cell>
          <cell r="O17">
            <v>251.5</v>
          </cell>
          <cell r="P17">
            <v>231.8</v>
          </cell>
          <cell r="Q17">
            <v>220</v>
          </cell>
          <cell r="R17">
            <v>703.3</v>
          </cell>
          <cell r="S17">
            <v>2783.1</v>
          </cell>
          <cell r="T17">
            <v>1994</v>
          </cell>
        </row>
        <row r="18">
          <cell r="A18" t="str">
            <v>03.1-1995</v>
          </cell>
          <cell r="B18" t="str">
            <v>crude</v>
          </cell>
          <cell r="F18">
            <v>2402.1</v>
          </cell>
          <cell r="J18">
            <v>3092.6</v>
          </cell>
          <cell r="N18">
            <v>3105.5</v>
          </cell>
          <cell r="R18">
            <v>2696.1</v>
          </cell>
          <cell r="S18">
            <v>11296.3</v>
          </cell>
          <cell r="T18">
            <v>1995</v>
          </cell>
        </row>
        <row r="19">
          <cell r="A19" t="str">
            <v>03.1-1996</v>
          </cell>
          <cell r="B19" t="str">
            <v>crude</v>
          </cell>
          <cell r="F19">
            <v>2566.8</v>
          </cell>
          <cell r="J19">
            <v>3080</v>
          </cell>
          <cell r="N19">
            <v>3207.7</v>
          </cell>
          <cell r="R19">
            <v>2813.8</v>
          </cell>
          <cell r="S19">
            <v>11668.2</v>
          </cell>
          <cell r="T19">
            <v>1996</v>
          </cell>
        </row>
        <row r="20">
          <cell r="A20" t="str">
            <v>03.1-1997</v>
          </cell>
          <cell r="B20" t="str">
            <v>crude</v>
          </cell>
          <cell r="F20">
            <v>2538.8967601376</v>
          </cell>
          <cell r="J20">
            <v>3193.50204549043</v>
          </cell>
          <cell r="N20">
            <v>2914.98064926151</v>
          </cell>
          <cell r="R20">
            <v>2624.66412548619</v>
          </cell>
          <cell r="S20">
            <v>11272.0435803757</v>
          </cell>
          <cell r="T20">
            <v>1997</v>
          </cell>
        </row>
        <row r="21">
          <cell r="A21" t="str">
            <v>03.1-1998</v>
          </cell>
          <cell r="B21" t="str">
            <v>crude</v>
          </cell>
          <cell r="F21">
            <v>2538.8967601376</v>
          </cell>
          <cell r="J21">
            <v>3193.50204549043</v>
          </cell>
          <cell r="N21">
            <v>2914.98064926151</v>
          </cell>
          <cell r="R21">
            <v>2624.66412548619</v>
          </cell>
          <cell r="S21">
            <v>11272.0435803757</v>
          </cell>
          <cell r="T21">
            <v>1998</v>
          </cell>
        </row>
        <row r="22">
          <cell r="A22" t="str">
            <v>03.2-1994</v>
          </cell>
          <cell r="B22" t="str">
            <v>crude</v>
          </cell>
          <cell r="C22">
            <v>231</v>
          </cell>
          <cell r="D22">
            <v>246.7</v>
          </cell>
          <cell r="E22">
            <v>304.9</v>
          </cell>
          <cell r="F22">
            <v>782.6</v>
          </cell>
          <cell r="G22">
            <v>268.5</v>
          </cell>
          <cell r="H22">
            <v>268.5</v>
          </cell>
          <cell r="I22">
            <v>285.7</v>
          </cell>
          <cell r="J22">
            <v>822.7</v>
          </cell>
          <cell r="K22">
            <v>267.3</v>
          </cell>
          <cell r="L22">
            <v>201.6</v>
          </cell>
          <cell r="M22">
            <v>301.6</v>
          </cell>
          <cell r="N22">
            <v>770.5</v>
          </cell>
          <cell r="O22">
            <v>272</v>
          </cell>
          <cell r="P22">
            <v>283.3</v>
          </cell>
          <cell r="Q22">
            <v>233.8</v>
          </cell>
          <cell r="R22">
            <v>789.1</v>
          </cell>
          <cell r="S22">
            <v>3164.9</v>
          </cell>
          <cell r="T22">
            <v>1994</v>
          </cell>
        </row>
        <row r="23">
          <cell r="A23" t="str">
            <v>03.2-1995</v>
          </cell>
          <cell r="B23" t="str">
            <v>crude</v>
          </cell>
          <cell r="F23">
            <v>3787.9</v>
          </cell>
          <cell r="J23">
            <v>4042.9</v>
          </cell>
          <cell r="N23">
            <v>3799.8</v>
          </cell>
          <cell r="R23">
            <v>3897.4</v>
          </cell>
          <cell r="S23">
            <v>15528</v>
          </cell>
          <cell r="T23">
            <v>1995</v>
          </cell>
        </row>
        <row r="24">
          <cell r="A24" t="str">
            <v>03.2-1996</v>
          </cell>
          <cell r="B24" t="str">
            <v>crude</v>
          </cell>
          <cell r="F24">
            <v>4496.8</v>
          </cell>
          <cell r="J24">
            <v>4293.7</v>
          </cell>
          <cell r="N24">
            <v>4016.8</v>
          </cell>
          <cell r="R24">
            <v>3748.5</v>
          </cell>
          <cell r="S24">
            <v>16555.8</v>
          </cell>
          <cell r="T24">
            <v>1996</v>
          </cell>
        </row>
        <row r="25">
          <cell r="A25" t="str">
            <v>03.2-1997</v>
          </cell>
          <cell r="B25" t="str">
            <v>crude</v>
          </cell>
          <cell r="F25">
            <v>4546.08484725548</v>
          </cell>
          <cell r="J25">
            <v>4287.47870499758</v>
          </cell>
          <cell r="N25">
            <v>2481.7928453013</v>
          </cell>
          <cell r="R25">
            <v>2570.55563016468</v>
          </cell>
          <cell r="S25">
            <v>13885.912027719</v>
          </cell>
          <cell r="T25">
            <v>1997</v>
          </cell>
        </row>
        <row r="26">
          <cell r="A26" t="str">
            <v>03.2-1998</v>
          </cell>
          <cell r="B26" t="str">
            <v>crude</v>
          </cell>
          <cell r="F26">
            <v>4546.08484725548</v>
          </cell>
          <cell r="J26">
            <v>4287.47870499758</v>
          </cell>
          <cell r="N26">
            <v>2481.7928453013</v>
          </cell>
          <cell r="R26">
            <v>2570.55563016468</v>
          </cell>
          <cell r="S26">
            <v>13885.912027719</v>
          </cell>
          <cell r="T26">
            <v>1998</v>
          </cell>
        </row>
        <row r="27">
          <cell r="A27" t="str">
            <v>04-1994</v>
          </cell>
          <cell r="B27" t="str">
            <v>crude</v>
          </cell>
          <cell r="T27">
            <v>1994</v>
          </cell>
        </row>
        <row r="28">
          <cell r="A28" t="str">
            <v>04-1995</v>
          </cell>
          <cell r="B28" t="str">
            <v>crude</v>
          </cell>
          <cell r="T28">
            <v>1995</v>
          </cell>
        </row>
        <row r="29">
          <cell r="A29" t="str">
            <v>04-1996</v>
          </cell>
          <cell r="B29" t="str">
            <v>crude</v>
          </cell>
          <cell r="T29">
            <v>1996</v>
          </cell>
        </row>
        <row r="30">
          <cell r="A30" t="str">
            <v>04-1997</v>
          </cell>
          <cell r="B30" t="str">
            <v>crude</v>
          </cell>
          <cell r="T30">
            <v>1997</v>
          </cell>
        </row>
        <row r="31">
          <cell r="A31" t="str">
            <v>04-1998</v>
          </cell>
          <cell r="B31" t="str">
            <v>crude</v>
          </cell>
          <cell r="T31">
            <v>1998</v>
          </cell>
        </row>
        <row r="32">
          <cell r="A32" t="str">
            <v>05.1-1994</v>
          </cell>
          <cell r="B32" t="str">
            <v>crude</v>
          </cell>
          <cell r="C32">
            <v>15688</v>
          </cell>
          <cell r="D32">
            <v>13045</v>
          </cell>
          <cell r="E32">
            <v>24409</v>
          </cell>
          <cell r="F32">
            <v>53142</v>
          </cell>
          <cell r="G32">
            <v>19502</v>
          </cell>
          <cell r="H32">
            <v>19240</v>
          </cell>
          <cell r="I32">
            <v>18797</v>
          </cell>
          <cell r="J32">
            <v>57539</v>
          </cell>
          <cell r="K32">
            <v>17936</v>
          </cell>
          <cell r="L32">
            <v>11671</v>
          </cell>
          <cell r="M32">
            <v>13782</v>
          </cell>
          <cell r="N32">
            <v>43389</v>
          </cell>
          <cell r="O32">
            <v>12517</v>
          </cell>
          <cell r="P32">
            <v>10069</v>
          </cell>
          <cell r="Q32">
            <v>4561</v>
          </cell>
          <cell r="R32">
            <v>27147</v>
          </cell>
          <cell r="S32">
            <v>181217</v>
          </cell>
          <cell r="T32">
            <v>1994</v>
          </cell>
        </row>
        <row r="33">
          <cell r="A33" t="str">
            <v>05.1-1995</v>
          </cell>
          <cell r="B33" t="str">
            <v>crude</v>
          </cell>
          <cell r="C33">
            <v>14854</v>
          </cell>
          <cell r="D33">
            <v>12351</v>
          </cell>
          <cell r="E33">
            <v>21797</v>
          </cell>
          <cell r="F33">
            <v>49002</v>
          </cell>
          <cell r="G33">
            <v>20017</v>
          </cell>
          <cell r="H33">
            <v>21471</v>
          </cell>
          <cell r="I33">
            <v>19249</v>
          </cell>
          <cell r="J33">
            <v>60737</v>
          </cell>
          <cell r="K33">
            <v>16803</v>
          </cell>
          <cell r="L33">
            <v>11404</v>
          </cell>
          <cell r="M33">
            <v>13010</v>
          </cell>
          <cell r="N33">
            <v>41217</v>
          </cell>
          <cell r="O33">
            <v>13587</v>
          </cell>
          <cell r="P33">
            <v>10548</v>
          </cell>
          <cell r="Q33">
            <v>4985</v>
          </cell>
          <cell r="R33">
            <v>29120</v>
          </cell>
          <cell r="S33">
            <v>180076</v>
          </cell>
          <cell r="T33">
            <v>1995</v>
          </cell>
        </row>
        <row r="34">
          <cell r="A34" t="str">
            <v>05.1-1996</v>
          </cell>
          <cell r="B34" t="str">
            <v>crude</v>
          </cell>
          <cell r="C34">
            <v>16432</v>
          </cell>
          <cell r="D34">
            <v>13903</v>
          </cell>
          <cell r="E34">
            <v>24945</v>
          </cell>
          <cell r="F34">
            <v>55280</v>
          </cell>
          <cell r="G34">
            <v>28184</v>
          </cell>
          <cell r="H34">
            <v>37616</v>
          </cell>
          <cell r="I34">
            <v>13140</v>
          </cell>
          <cell r="J34">
            <v>78940</v>
          </cell>
          <cell r="K34">
            <v>14663</v>
          </cell>
          <cell r="L34">
            <v>11734</v>
          </cell>
          <cell r="M34">
            <v>12636</v>
          </cell>
          <cell r="N34">
            <v>39033</v>
          </cell>
          <cell r="O34">
            <v>14329</v>
          </cell>
          <cell r="P34">
            <v>9970</v>
          </cell>
          <cell r="Q34">
            <v>5610</v>
          </cell>
          <cell r="R34">
            <v>29909</v>
          </cell>
          <cell r="S34">
            <v>203162</v>
          </cell>
          <cell r="T34">
            <v>1996</v>
          </cell>
        </row>
        <row r="35">
          <cell r="A35" t="str">
            <v>05.1-1997</v>
          </cell>
          <cell r="B35" t="str">
            <v>crude</v>
          </cell>
          <cell r="C35">
            <v>14152</v>
          </cell>
          <cell r="D35">
            <v>13654</v>
          </cell>
          <cell r="E35">
            <v>20932</v>
          </cell>
          <cell r="F35">
            <v>48738</v>
          </cell>
          <cell r="G35">
            <v>22020</v>
          </cell>
          <cell r="H35">
            <v>16407</v>
          </cell>
          <cell r="I35">
            <v>17124</v>
          </cell>
          <cell r="J35">
            <v>55551</v>
          </cell>
          <cell r="K35">
            <v>16465</v>
          </cell>
          <cell r="L35">
            <v>11062</v>
          </cell>
          <cell r="M35">
            <v>12412</v>
          </cell>
          <cell r="N35">
            <v>39939</v>
          </cell>
          <cell r="O35">
            <v>12927</v>
          </cell>
          <cell r="P35">
            <v>9229</v>
          </cell>
          <cell r="Q35">
            <v>4935</v>
          </cell>
          <cell r="R35">
            <v>27091</v>
          </cell>
          <cell r="S35">
            <v>171319</v>
          </cell>
          <cell r="T35">
            <v>1997</v>
          </cell>
        </row>
        <row r="36">
          <cell r="A36" t="str">
            <v>05.1-1998</v>
          </cell>
          <cell r="B36" t="str">
            <v>crude</v>
          </cell>
          <cell r="C36">
            <v>14715</v>
          </cell>
          <cell r="D36">
            <v>13004</v>
          </cell>
          <cell r="E36">
            <v>19278</v>
          </cell>
          <cell r="F36">
            <v>46997</v>
          </cell>
          <cell r="G36">
            <v>20334</v>
          </cell>
          <cell r="H36">
            <v>16377</v>
          </cell>
          <cell r="I36">
            <v>15716</v>
          </cell>
          <cell r="J36">
            <v>52427</v>
          </cell>
          <cell r="K36">
            <v>17139</v>
          </cell>
          <cell r="L36">
            <v>12237</v>
          </cell>
          <cell r="M36">
            <v>13951</v>
          </cell>
          <cell r="N36">
            <v>43327</v>
          </cell>
          <cell r="O36">
            <v>14475</v>
          </cell>
          <cell r="P36">
            <v>11537</v>
          </cell>
          <cell r="Q36">
            <v>6899</v>
          </cell>
          <cell r="R36">
            <v>32911</v>
          </cell>
          <cell r="S36">
            <v>175662</v>
          </cell>
          <cell r="T36">
            <v>1998</v>
          </cell>
        </row>
        <row r="37">
          <cell r="A37" t="str">
            <v>05.2-1994</v>
          </cell>
          <cell r="B37" t="str">
            <v>crude</v>
          </cell>
          <cell r="C37">
            <v>1847</v>
          </cell>
          <cell r="D37">
            <v>2095</v>
          </cell>
          <cell r="E37">
            <v>3303</v>
          </cell>
          <cell r="F37">
            <v>7245</v>
          </cell>
          <cell r="G37">
            <v>2576</v>
          </cell>
          <cell r="H37">
            <v>2296</v>
          </cell>
          <cell r="I37">
            <v>2400</v>
          </cell>
          <cell r="J37">
            <v>7272</v>
          </cell>
          <cell r="K37">
            <v>2148</v>
          </cell>
          <cell r="L37">
            <v>2012</v>
          </cell>
          <cell r="M37">
            <v>2035</v>
          </cell>
          <cell r="N37">
            <v>6195</v>
          </cell>
          <cell r="O37">
            <v>2017</v>
          </cell>
          <cell r="P37">
            <v>2118</v>
          </cell>
          <cell r="Q37">
            <v>1862</v>
          </cell>
          <cell r="R37">
            <v>5997</v>
          </cell>
          <cell r="S37">
            <v>26709</v>
          </cell>
          <cell r="T37">
            <v>1994</v>
          </cell>
        </row>
        <row r="38">
          <cell r="A38" t="str">
            <v>05.2-1995</v>
          </cell>
          <cell r="B38" t="str">
            <v>crude</v>
          </cell>
          <cell r="C38">
            <v>2228</v>
          </cell>
          <cell r="D38">
            <v>1994</v>
          </cell>
          <cell r="E38">
            <v>2816</v>
          </cell>
          <cell r="F38">
            <v>7038</v>
          </cell>
          <cell r="G38">
            <v>2535</v>
          </cell>
          <cell r="H38">
            <v>2492</v>
          </cell>
          <cell r="I38">
            <v>2370</v>
          </cell>
          <cell r="J38">
            <v>7397</v>
          </cell>
          <cell r="K38">
            <v>2336</v>
          </cell>
          <cell r="L38">
            <v>2047</v>
          </cell>
          <cell r="M38">
            <v>2059</v>
          </cell>
          <cell r="N38">
            <v>6442</v>
          </cell>
          <cell r="O38">
            <v>2263</v>
          </cell>
          <cell r="P38">
            <v>2182</v>
          </cell>
          <cell r="Q38">
            <v>1982</v>
          </cell>
          <cell r="R38">
            <v>6427</v>
          </cell>
          <cell r="S38">
            <v>27304</v>
          </cell>
          <cell r="T38">
            <v>1995</v>
          </cell>
        </row>
        <row r="39">
          <cell r="A39" t="str">
            <v>05.2-1996</v>
          </cell>
          <cell r="B39" t="str">
            <v>crude</v>
          </cell>
          <cell r="C39">
            <v>2225</v>
          </cell>
          <cell r="D39">
            <v>2057</v>
          </cell>
          <cell r="E39">
            <v>2555</v>
          </cell>
          <cell r="F39">
            <v>6837</v>
          </cell>
          <cell r="G39">
            <v>2708</v>
          </cell>
          <cell r="H39">
            <v>2551</v>
          </cell>
          <cell r="I39">
            <v>2319</v>
          </cell>
          <cell r="J39">
            <v>7578</v>
          </cell>
          <cell r="K39">
            <v>2643</v>
          </cell>
          <cell r="L39">
            <v>2020</v>
          </cell>
          <cell r="M39">
            <v>2331</v>
          </cell>
          <cell r="N39">
            <v>6994</v>
          </cell>
          <cell r="O39">
            <v>2526</v>
          </cell>
          <cell r="P39">
            <v>2128</v>
          </cell>
          <cell r="Q39">
            <v>1982</v>
          </cell>
          <cell r="R39">
            <v>6636</v>
          </cell>
          <cell r="S39">
            <v>28045</v>
          </cell>
          <cell r="T39">
            <v>1996</v>
          </cell>
        </row>
        <row r="40">
          <cell r="A40" t="str">
            <v>05.2-1997</v>
          </cell>
          <cell r="B40" t="str">
            <v>crude</v>
          </cell>
          <cell r="C40">
            <v>2437</v>
          </cell>
          <cell r="D40">
            <v>1990</v>
          </cell>
          <cell r="E40">
            <v>2493</v>
          </cell>
          <cell r="F40">
            <v>6920</v>
          </cell>
          <cell r="G40">
            <v>3120</v>
          </cell>
          <cell r="H40">
            <v>2383</v>
          </cell>
          <cell r="I40">
            <v>2837</v>
          </cell>
          <cell r="J40">
            <v>8340</v>
          </cell>
          <cell r="K40">
            <v>2578</v>
          </cell>
          <cell r="L40">
            <v>2167</v>
          </cell>
          <cell r="M40">
            <v>2354</v>
          </cell>
          <cell r="N40">
            <v>7099</v>
          </cell>
          <cell r="O40">
            <v>2978</v>
          </cell>
          <cell r="P40">
            <v>2590</v>
          </cell>
          <cell r="Q40">
            <v>1899</v>
          </cell>
          <cell r="R40">
            <v>7467</v>
          </cell>
          <cell r="S40">
            <v>29826</v>
          </cell>
          <cell r="T40">
            <v>1997</v>
          </cell>
        </row>
        <row r="41">
          <cell r="A41" t="str">
            <v>05.2-1998</v>
          </cell>
          <cell r="B41" t="str">
            <v>crude</v>
          </cell>
          <cell r="C41">
            <v>2460</v>
          </cell>
          <cell r="D41">
            <v>2223</v>
          </cell>
          <cell r="E41">
            <v>3098</v>
          </cell>
          <cell r="F41">
            <v>7781</v>
          </cell>
          <cell r="G41">
            <v>3073</v>
          </cell>
          <cell r="H41">
            <v>2960</v>
          </cell>
          <cell r="I41">
            <v>2836</v>
          </cell>
          <cell r="J41">
            <v>8869</v>
          </cell>
          <cell r="K41">
            <v>3003</v>
          </cell>
          <cell r="L41">
            <v>2826</v>
          </cell>
          <cell r="M41">
            <v>2879</v>
          </cell>
          <cell r="N41">
            <v>8708</v>
          </cell>
          <cell r="O41">
            <v>2867</v>
          </cell>
          <cell r="P41">
            <v>2562</v>
          </cell>
          <cell r="Q41">
            <v>2043</v>
          </cell>
          <cell r="R41">
            <v>7472</v>
          </cell>
          <cell r="S41">
            <v>32830</v>
          </cell>
          <cell r="T41">
            <v>1998</v>
          </cell>
        </row>
        <row r="42">
          <cell r="A42" t="str">
            <v>06.1-1994</v>
          </cell>
          <cell r="B42" t="str">
            <v>crude</v>
          </cell>
          <cell r="T42">
            <v>1994</v>
          </cell>
        </row>
        <row r="43">
          <cell r="A43" t="str">
            <v>06.1-1995</v>
          </cell>
          <cell r="B43" t="str">
            <v>crude</v>
          </cell>
          <cell r="T43">
            <v>1995</v>
          </cell>
        </row>
        <row r="44">
          <cell r="A44" t="str">
            <v>06.1-1996</v>
          </cell>
          <cell r="B44" t="str">
            <v>crude</v>
          </cell>
          <cell r="T44">
            <v>1996</v>
          </cell>
        </row>
        <row r="45">
          <cell r="A45" t="str">
            <v>06.1-1997</v>
          </cell>
          <cell r="B45" t="str">
            <v>crude</v>
          </cell>
          <cell r="T45">
            <v>1997</v>
          </cell>
        </row>
        <row r="46">
          <cell r="A46" t="str">
            <v>06.1-1998</v>
          </cell>
          <cell r="B46" t="str">
            <v>crude</v>
          </cell>
          <cell r="T46">
            <v>1998</v>
          </cell>
        </row>
        <row r="47">
          <cell r="A47" t="str">
            <v>06.2-1994</v>
          </cell>
          <cell r="B47" t="str">
            <v>crude</v>
          </cell>
          <cell r="T47">
            <v>1994</v>
          </cell>
        </row>
        <row r="48">
          <cell r="A48" t="str">
            <v>06.2-1995</v>
          </cell>
          <cell r="B48" t="str">
            <v>crude</v>
          </cell>
          <cell r="T48">
            <v>1995</v>
          </cell>
        </row>
        <row r="49">
          <cell r="A49" t="str">
            <v>06.2-1996</v>
          </cell>
          <cell r="B49" t="str">
            <v>crude</v>
          </cell>
          <cell r="T49">
            <v>1996</v>
          </cell>
        </row>
        <row r="50">
          <cell r="A50" t="str">
            <v>06.2-1997</v>
          </cell>
          <cell r="B50" t="str">
            <v>crude</v>
          </cell>
          <cell r="T50">
            <v>1997</v>
          </cell>
        </row>
        <row r="51">
          <cell r="A51" t="str">
            <v>06.2-1998</v>
          </cell>
          <cell r="B51" t="str">
            <v>crude</v>
          </cell>
          <cell r="T51">
            <v>1998</v>
          </cell>
        </row>
        <row r="52">
          <cell r="A52" t="str">
            <v>07.1-1994</v>
          </cell>
          <cell r="B52" t="str">
            <v>crude</v>
          </cell>
          <cell r="C52">
            <v>7.7</v>
          </cell>
          <cell r="D52">
            <v>4.5</v>
          </cell>
          <cell r="E52">
            <v>5.8</v>
          </cell>
          <cell r="F52">
            <v>18</v>
          </cell>
          <cell r="G52">
            <v>6</v>
          </cell>
          <cell r="H52">
            <v>1.3</v>
          </cell>
          <cell r="I52">
            <v>7.5</v>
          </cell>
          <cell r="J52">
            <v>14.8</v>
          </cell>
          <cell r="K52">
            <v>8.6</v>
          </cell>
          <cell r="L52">
            <v>7.1</v>
          </cell>
          <cell r="M52">
            <v>4.3</v>
          </cell>
          <cell r="N52">
            <v>20</v>
          </cell>
          <cell r="O52">
            <v>6.2</v>
          </cell>
          <cell r="P52">
            <v>8.5</v>
          </cell>
          <cell r="Q52">
            <v>10.9</v>
          </cell>
          <cell r="R52">
            <v>25.6</v>
          </cell>
          <cell r="S52">
            <v>78.4</v>
          </cell>
          <cell r="T52">
            <v>1994</v>
          </cell>
        </row>
        <row r="53">
          <cell r="A53" t="str">
            <v>07.1-1995</v>
          </cell>
          <cell r="B53" t="str">
            <v>crude</v>
          </cell>
          <cell r="C53">
            <v>4.6</v>
          </cell>
          <cell r="D53">
            <v>5.8</v>
          </cell>
          <cell r="E53">
            <v>4.1</v>
          </cell>
          <cell r="F53">
            <v>14.5</v>
          </cell>
          <cell r="G53">
            <v>7</v>
          </cell>
          <cell r="H53">
            <v>6.2</v>
          </cell>
          <cell r="I53">
            <v>5.3</v>
          </cell>
          <cell r="J53">
            <v>18.5</v>
          </cell>
          <cell r="K53">
            <v>7.2</v>
          </cell>
          <cell r="L53">
            <v>10.1</v>
          </cell>
          <cell r="M53">
            <v>8.2</v>
          </cell>
          <cell r="N53">
            <v>25.5</v>
          </cell>
          <cell r="O53">
            <v>9.6</v>
          </cell>
          <cell r="P53">
            <v>9.6</v>
          </cell>
          <cell r="Q53">
            <v>5.5</v>
          </cell>
          <cell r="R53">
            <v>24.7</v>
          </cell>
          <cell r="S53">
            <v>83.2</v>
          </cell>
          <cell r="T53">
            <v>1995</v>
          </cell>
        </row>
        <row r="54">
          <cell r="A54" t="str">
            <v>07.1-1996</v>
          </cell>
          <cell r="B54" t="str">
            <v>crude</v>
          </cell>
          <cell r="C54">
            <v>6.3</v>
          </cell>
          <cell r="D54">
            <v>6.2</v>
          </cell>
          <cell r="E54">
            <v>4.5</v>
          </cell>
          <cell r="F54">
            <v>17</v>
          </cell>
          <cell r="G54">
            <v>4.2</v>
          </cell>
          <cell r="H54">
            <v>6.1</v>
          </cell>
          <cell r="I54">
            <v>7.2</v>
          </cell>
          <cell r="J54">
            <v>17.5</v>
          </cell>
          <cell r="K54">
            <v>10.3</v>
          </cell>
          <cell r="L54">
            <v>5.8</v>
          </cell>
          <cell r="M54">
            <v>10.2</v>
          </cell>
          <cell r="N54">
            <v>26.3</v>
          </cell>
          <cell r="O54">
            <v>8.2</v>
          </cell>
          <cell r="P54">
            <v>6.4</v>
          </cell>
          <cell r="Q54">
            <v>11</v>
          </cell>
          <cell r="R54">
            <v>25.6</v>
          </cell>
          <cell r="S54">
            <v>86.4</v>
          </cell>
          <cell r="T54">
            <v>1996</v>
          </cell>
        </row>
        <row r="55">
          <cell r="A55" t="str">
            <v>07.1-1997</v>
          </cell>
          <cell r="B55" t="str">
            <v>crude</v>
          </cell>
          <cell r="C55">
            <v>4.9</v>
          </cell>
          <cell r="D55">
            <v>3.8</v>
          </cell>
          <cell r="E55">
            <v>12.2</v>
          </cell>
          <cell r="F55">
            <v>20.9</v>
          </cell>
          <cell r="G55">
            <v>13.6</v>
          </cell>
          <cell r="H55">
            <v>10.3</v>
          </cell>
          <cell r="I55">
            <v>13.4</v>
          </cell>
          <cell r="J55">
            <v>37.3</v>
          </cell>
          <cell r="K55">
            <v>6.4</v>
          </cell>
          <cell r="L55">
            <v>7.7</v>
          </cell>
          <cell r="M55">
            <v>9.1</v>
          </cell>
          <cell r="N55">
            <v>23.2</v>
          </cell>
          <cell r="O55">
            <v>19.3</v>
          </cell>
          <cell r="P55">
            <v>9.1</v>
          </cell>
          <cell r="Q55">
            <v>9</v>
          </cell>
          <cell r="R55">
            <v>37.4</v>
          </cell>
          <cell r="S55">
            <v>118.8</v>
          </cell>
          <cell r="T55">
            <v>1997</v>
          </cell>
        </row>
        <row r="56">
          <cell r="A56" t="str">
            <v>07.1-1998</v>
          </cell>
          <cell r="B56" t="str">
            <v>crude</v>
          </cell>
          <cell r="C56">
            <v>8.4</v>
          </cell>
          <cell r="D56">
            <v>7.7</v>
          </cell>
          <cell r="E56">
            <v>12.3</v>
          </cell>
          <cell r="F56">
            <v>28.4</v>
          </cell>
          <cell r="G56">
            <v>11.3</v>
          </cell>
          <cell r="H56">
            <v>10.5</v>
          </cell>
          <cell r="I56">
            <v>10.9</v>
          </cell>
          <cell r="J56">
            <v>32.7</v>
          </cell>
          <cell r="K56">
            <v>13.1</v>
          </cell>
          <cell r="L56">
            <v>9.2</v>
          </cell>
          <cell r="M56">
            <v>8.3</v>
          </cell>
          <cell r="N56">
            <v>30.6</v>
          </cell>
          <cell r="O56">
            <v>10.4</v>
          </cell>
          <cell r="T56">
            <v>1998</v>
          </cell>
        </row>
        <row r="57">
          <cell r="A57" t="str">
            <v>07.2-1994</v>
          </cell>
          <cell r="B57" t="str">
            <v>crude</v>
          </cell>
          <cell r="C57">
            <v>124.6</v>
          </cell>
          <cell r="D57">
            <v>128.8</v>
          </cell>
          <cell r="E57">
            <v>117.8</v>
          </cell>
          <cell r="F57">
            <v>371.2</v>
          </cell>
          <cell r="G57">
            <v>58.3</v>
          </cell>
          <cell r="H57">
            <v>185.5</v>
          </cell>
          <cell r="I57">
            <v>168.6</v>
          </cell>
          <cell r="J57">
            <v>412.4</v>
          </cell>
          <cell r="K57">
            <v>178.9</v>
          </cell>
          <cell r="L57">
            <v>157.6</v>
          </cell>
          <cell r="M57">
            <v>135.3</v>
          </cell>
          <cell r="N57">
            <v>471.8</v>
          </cell>
          <cell r="O57">
            <v>127.9</v>
          </cell>
          <cell r="P57">
            <v>155.4</v>
          </cell>
          <cell r="Q57">
            <v>202.8</v>
          </cell>
          <cell r="R57">
            <v>486.1</v>
          </cell>
          <cell r="S57">
            <v>1741.5</v>
          </cell>
          <cell r="T57">
            <v>1994</v>
          </cell>
        </row>
        <row r="58">
          <cell r="A58" t="str">
            <v>07.2-1995</v>
          </cell>
          <cell r="B58" t="str">
            <v>crude</v>
          </cell>
          <cell r="C58">
            <v>118.9</v>
          </cell>
          <cell r="D58">
            <v>122.9</v>
          </cell>
          <cell r="E58">
            <v>143.1</v>
          </cell>
          <cell r="F58">
            <v>384.9</v>
          </cell>
          <cell r="G58">
            <v>141.5</v>
          </cell>
          <cell r="H58">
            <v>194.7</v>
          </cell>
          <cell r="I58">
            <v>165.5</v>
          </cell>
          <cell r="J58">
            <v>501.7</v>
          </cell>
          <cell r="K58">
            <v>211.3</v>
          </cell>
          <cell r="L58">
            <v>207.6</v>
          </cell>
          <cell r="M58">
            <v>176.7</v>
          </cell>
          <cell r="N58">
            <v>595.6</v>
          </cell>
          <cell r="O58">
            <v>131.4</v>
          </cell>
          <cell r="P58">
            <v>185.9</v>
          </cell>
          <cell r="Q58">
            <v>163.7</v>
          </cell>
          <cell r="R58">
            <v>481</v>
          </cell>
          <cell r="S58">
            <v>1963.2</v>
          </cell>
          <cell r="T58">
            <v>1995</v>
          </cell>
        </row>
        <row r="59">
          <cell r="A59" t="str">
            <v>07.2-1996</v>
          </cell>
          <cell r="B59" t="str">
            <v>crude</v>
          </cell>
          <cell r="C59">
            <v>130.4</v>
          </cell>
          <cell r="D59">
            <v>33.6</v>
          </cell>
          <cell r="E59">
            <v>113.2</v>
          </cell>
          <cell r="F59">
            <v>277.2</v>
          </cell>
          <cell r="G59">
            <v>218.7</v>
          </cell>
          <cell r="H59">
            <v>217.5</v>
          </cell>
          <cell r="I59">
            <v>203.5</v>
          </cell>
          <cell r="J59">
            <v>639.7</v>
          </cell>
          <cell r="K59">
            <v>203.6</v>
          </cell>
          <cell r="L59">
            <v>203.9</v>
          </cell>
          <cell r="M59">
            <v>175</v>
          </cell>
          <cell r="N59">
            <v>582.5</v>
          </cell>
          <cell r="O59">
            <v>177.1</v>
          </cell>
          <cell r="P59">
            <v>188.3</v>
          </cell>
          <cell r="Q59">
            <v>150.4</v>
          </cell>
          <cell r="R59">
            <v>515.8</v>
          </cell>
          <cell r="S59">
            <v>2015.2</v>
          </cell>
          <cell r="T59">
            <v>1996</v>
          </cell>
        </row>
        <row r="60">
          <cell r="A60" t="str">
            <v>07.2-1997</v>
          </cell>
          <cell r="B60" t="str">
            <v>crude</v>
          </cell>
          <cell r="C60">
            <v>9.9</v>
          </cell>
          <cell r="D60">
            <v>98.5</v>
          </cell>
          <cell r="E60">
            <v>232</v>
          </cell>
          <cell r="F60">
            <v>340.4</v>
          </cell>
          <cell r="G60">
            <v>175.4</v>
          </cell>
          <cell r="H60">
            <v>196.4</v>
          </cell>
          <cell r="I60">
            <v>217.7</v>
          </cell>
          <cell r="J60">
            <v>589.5</v>
          </cell>
          <cell r="K60">
            <v>216.6</v>
          </cell>
          <cell r="L60">
            <v>199</v>
          </cell>
          <cell r="M60">
            <v>162.5</v>
          </cell>
          <cell r="N60">
            <v>578.1</v>
          </cell>
          <cell r="O60">
            <v>161.1</v>
          </cell>
          <cell r="P60">
            <v>130.4</v>
          </cell>
          <cell r="Q60">
            <v>168.7</v>
          </cell>
          <cell r="R60">
            <v>460.2</v>
          </cell>
          <cell r="S60">
            <v>1968.2</v>
          </cell>
          <cell r="T60">
            <v>1997</v>
          </cell>
        </row>
        <row r="61">
          <cell r="A61" t="str">
            <v>07.2-1998</v>
          </cell>
          <cell r="B61" t="str">
            <v>crude</v>
          </cell>
          <cell r="C61">
            <v>160.9</v>
          </cell>
          <cell r="D61">
            <v>132</v>
          </cell>
          <cell r="E61">
            <v>205.3</v>
          </cell>
          <cell r="F61">
            <v>498.2</v>
          </cell>
          <cell r="G61">
            <v>216.2</v>
          </cell>
          <cell r="H61">
            <v>205.4</v>
          </cell>
          <cell r="I61">
            <v>203.5</v>
          </cell>
          <cell r="J61">
            <v>625.1</v>
          </cell>
          <cell r="K61">
            <v>202.8</v>
          </cell>
          <cell r="L61">
            <v>157.1</v>
          </cell>
          <cell r="M61">
            <v>176.3</v>
          </cell>
          <cell r="N61">
            <v>536.2</v>
          </cell>
          <cell r="O61">
            <v>157.1</v>
          </cell>
          <cell r="T61">
            <v>1998</v>
          </cell>
        </row>
        <row r="62">
          <cell r="A62" t="str">
            <v>08-1994</v>
          </cell>
          <cell r="B62" t="str">
            <v>crude</v>
          </cell>
          <cell r="C62">
            <v>41.6</v>
          </cell>
          <cell r="D62">
            <v>49.6</v>
          </cell>
          <cell r="E62">
            <v>57</v>
          </cell>
          <cell r="F62">
            <v>148.2</v>
          </cell>
          <cell r="G62">
            <v>52.8</v>
          </cell>
          <cell r="H62">
            <v>50</v>
          </cell>
          <cell r="I62">
            <v>53.1</v>
          </cell>
          <cell r="J62">
            <v>155.9</v>
          </cell>
          <cell r="K62">
            <v>49.3</v>
          </cell>
          <cell r="L62">
            <v>44.2</v>
          </cell>
          <cell r="M62">
            <v>55.9</v>
          </cell>
          <cell r="N62">
            <v>149.4</v>
          </cell>
          <cell r="O62">
            <v>54.1</v>
          </cell>
          <cell r="P62">
            <v>56.7</v>
          </cell>
          <cell r="Q62">
            <v>64.6</v>
          </cell>
          <cell r="R62">
            <v>175.4</v>
          </cell>
          <cell r="S62">
            <v>628.9</v>
          </cell>
          <cell r="T62">
            <v>1994</v>
          </cell>
        </row>
        <row r="63">
          <cell r="A63" t="str">
            <v>08-1995</v>
          </cell>
          <cell r="B63" t="str">
            <v>crude</v>
          </cell>
          <cell r="C63">
            <v>48.1</v>
          </cell>
          <cell r="D63">
            <v>56.2</v>
          </cell>
          <cell r="E63">
            <v>64</v>
          </cell>
          <cell r="F63">
            <v>168.3</v>
          </cell>
          <cell r="G63">
            <v>53.7</v>
          </cell>
          <cell r="H63">
            <v>58.2</v>
          </cell>
          <cell r="I63">
            <v>56.2</v>
          </cell>
          <cell r="J63">
            <v>168.1</v>
          </cell>
          <cell r="K63">
            <v>53.7</v>
          </cell>
          <cell r="L63">
            <v>49.8</v>
          </cell>
          <cell r="M63">
            <v>57.9</v>
          </cell>
          <cell r="N63">
            <v>161.4</v>
          </cell>
          <cell r="O63">
            <v>58.5</v>
          </cell>
          <cell r="P63">
            <v>58.6</v>
          </cell>
          <cell r="Q63">
            <v>53.1</v>
          </cell>
          <cell r="R63">
            <v>170.2</v>
          </cell>
          <cell r="S63">
            <v>668</v>
          </cell>
          <cell r="T63">
            <v>1995</v>
          </cell>
        </row>
        <row r="64">
          <cell r="A64" t="str">
            <v>08-1996</v>
          </cell>
          <cell r="B64" t="str">
            <v>crude</v>
          </cell>
          <cell r="C64">
            <v>57.6</v>
          </cell>
          <cell r="D64">
            <v>59.9</v>
          </cell>
          <cell r="E64">
            <v>61</v>
          </cell>
          <cell r="F64">
            <v>178.5</v>
          </cell>
          <cell r="G64">
            <v>61.8</v>
          </cell>
          <cell r="H64">
            <v>59.5</v>
          </cell>
          <cell r="I64">
            <v>54.6</v>
          </cell>
          <cell r="J64">
            <v>175.9</v>
          </cell>
          <cell r="K64">
            <v>60.3</v>
          </cell>
          <cell r="L64">
            <v>51.5</v>
          </cell>
          <cell r="M64">
            <v>64</v>
          </cell>
          <cell r="N64">
            <v>175.8</v>
          </cell>
          <cell r="O64">
            <v>68.4</v>
          </cell>
          <cell r="P64">
            <v>61.6</v>
          </cell>
          <cell r="Q64">
            <v>55.5</v>
          </cell>
          <cell r="R64">
            <v>185.5</v>
          </cell>
          <cell r="S64">
            <v>715.7</v>
          </cell>
          <cell r="T64">
            <v>1996</v>
          </cell>
        </row>
        <row r="65">
          <cell r="A65" t="str">
            <v>08-1997</v>
          </cell>
          <cell r="B65" t="str">
            <v>crude</v>
          </cell>
          <cell r="C65">
            <v>58.8</v>
          </cell>
          <cell r="D65">
            <v>63.7</v>
          </cell>
          <cell r="E65">
            <v>64.6</v>
          </cell>
          <cell r="F65">
            <v>187.1</v>
          </cell>
          <cell r="G65">
            <v>69.8</v>
          </cell>
          <cell r="H65">
            <v>58.7</v>
          </cell>
          <cell r="I65">
            <v>66</v>
          </cell>
          <cell r="J65">
            <v>194.5</v>
          </cell>
          <cell r="K65">
            <v>68.3</v>
          </cell>
          <cell r="L65">
            <v>57.6</v>
          </cell>
          <cell r="M65">
            <v>73.4</v>
          </cell>
          <cell r="N65">
            <v>199.3</v>
          </cell>
          <cell r="O65">
            <v>74.4</v>
          </cell>
          <cell r="P65">
            <v>70</v>
          </cell>
          <cell r="Q65">
            <v>64.9</v>
          </cell>
          <cell r="R65">
            <v>209.3</v>
          </cell>
          <cell r="S65">
            <v>790.2</v>
          </cell>
          <cell r="T65">
            <v>1997</v>
          </cell>
        </row>
        <row r="66">
          <cell r="A66" t="str">
            <v>08-1998</v>
          </cell>
          <cell r="B66" t="str">
            <v>crude</v>
          </cell>
          <cell r="C66">
            <v>64.6</v>
          </cell>
          <cell r="D66">
            <v>69.9</v>
          </cell>
          <cell r="E66">
            <v>76.4</v>
          </cell>
          <cell r="F66">
            <v>210.9</v>
          </cell>
          <cell r="G66">
            <v>69.5</v>
          </cell>
          <cell r="H66">
            <v>64.2</v>
          </cell>
          <cell r="I66">
            <v>65.9</v>
          </cell>
          <cell r="J66">
            <v>199.6</v>
          </cell>
          <cell r="K66">
            <v>70.7</v>
          </cell>
          <cell r="L66">
            <v>60.3</v>
          </cell>
          <cell r="M66">
            <v>76.1</v>
          </cell>
          <cell r="N66">
            <v>207.1</v>
          </cell>
          <cell r="O66">
            <v>75.3</v>
          </cell>
          <cell r="T66">
            <v>1998</v>
          </cell>
        </row>
        <row r="67">
          <cell r="A67" t="str">
            <v>09-1994</v>
          </cell>
          <cell r="B67" t="str">
            <v>crude</v>
          </cell>
          <cell r="C67">
            <v>34.8</v>
          </cell>
          <cell r="D67">
            <v>39.7</v>
          </cell>
          <cell r="E67">
            <v>44.8</v>
          </cell>
          <cell r="F67">
            <v>119.3</v>
          </cell>
          <cell r="G67">
            <v>41</v>
          </cell>
          <cell r="H67">
            <v>42.3</v>
          </cell>
          <cell r="I67">
            <v>43.4</v>
          </cell>
          <cell r="J67">
            <v>126.7</v>
          </cell>
          <cell r="K67">
            <v>42.8</v>
          </cell>
          <cell r="L67">
            <v>34.6</v>
          </cell>
          <cell r="M67">
            <v>49</v>
          </cell>
          <cell r="N67">
            <v>126.4</v>
          </cell>
          <cell r="O67">
            <v>44.6</v>
          </cell>
          <cell r="P67">
            <v>47.1</v>
          </cell>
          <cell r="Q67">
            <v>48.5</v>
          </cell>
          <cell r="R67">
            <v>140.2</v>
          </cell>
          <cell r="S67">
            <v>512.6</v>
          </cell>
          <cell r="T67">
            <v>1994</v>
          </cell>
        </row>
        <row r="68">
          <cell r="A68" t="str">
            <v>09-1995</v>
          </cell>
          <cell r="B68" t="str">
            <v>crude</v>
          </cell>
          <cell r="C68">
            <v>43.4</v>
          </cell>
          <cell r="D68">
            <v>46.9</v>
          </cell>
          <cell r="E68">
            <v>56.7</v>
          </cell>
          <cell r="F68">
            <v>147</v>
          </cell>
          <cell r="G68">
            <v>46.4</v>
          </cell>
          <cell r="H68">
            <v>50.8</v>
          </cell>
          <cell r="I68">
            <v>48.9</v>
          </cell>
          <cell r="J68">
            <v>146.1</v>
          </cell>
          <cell r="K68">
            <v>47.1</v>
          </cell>
          <cell r="L68">
            <v>42</v>
          </cell>
          <cell r="M68">
            <v>50.9</v>
          </cell>
          <cell r="N68">
            <v>140</v>
          </cell>
          <cell r="O68">
            <v>50.5</v>
          </cell>
          <cell r="P68">
            <v>52</v>
          </cell>
          <cell r="Q68">
            <v>44.5</v>
          </cell>
          <cell r="R68">
            <v>147</v>
          </cell>
          <cell r="S68">
            <v>580.1</v>
          </cell>
          <cell r="T68">
            <v>1995</v>
          </cell>
        </row>
        <row r="69">
          <cell r="A69" t="str">
            <v>09-1996</v>
          </cell>
          <cell r="B69" t="str">
            <v>crude</v>
          </cell>
          <cell r="C69">
            <v>48.6</v>
          </cell>
          <cell r="D69">
            <v>50.4</v>
          </cell>
          <cell r="E69">
            <v>52.6</v>
          </cell>
          <cell r="F69">
            <v>151.6</v>
          </cell>
          <cell r="G69">
            <v>50.3</v>
          </cell>
          <cell r="H69">
            <v>50</v>
          </cell>
          <cell r="I69">
            <v>49.4</v>
          </cell>
          <cell r="J69">
            <v>149.7</v>
          </cell>
          <cell r="K69">
            <v>51.7</v>
          </cell>
          <cell r="L69">
            <v>42.8</v>
          </cell>
          <cell r="M69">
            <v>52.6</v>
          </cell>
          <cell r="N69">
            <v>147.1</v>
          </cell>
          <cell r="O69">
            <v>59.3</v>
          </cell>
          <cell r="P69">
            <v>57.5</v>
          </cell>
          <cell r="Q69">
            <v>48.9</v>
          </cell>
          <cell r="R69">
            <v>165.7</v>
          </cell>
          <cell r="S69">
            <v>614.1</v>
          </cell>
          <cell r="T69">
            <v>1996</v>
          </cell>
        </row>
        <row r="70">
          <cell r="A70" t="str">
            <v>09-1997</v>
          </cell>
          <cell r="B70" t="str">
            <v>crude</v>
          </cell>
          <cell r="C70">
            <v>48.8</v>
          </cell>
          <cell r="D70">
            <v>57.3</v>
          </cell>
          <cell r="E70">
            <v>56.8</v>
          </cell>
          <cell r="F70">
            <v>162.9</v>
          </cell>
          <cell r="G70">
            <v>64.1</v>
          </cell>
          <cell r="H70">
            <v>54.2</v>
          </cell>
          <cell r="I70">
            <v>62</v>
          </cell>
          <cell r="J70">
            <v>180.3</v>
          </cell>
          <cell r="K70">
            <v>61.9</v>
          </cell>
          <cell r="L70">
            <v>48</v>
          </cell>
          <cell r="M70">
            <v>67.7</v>
          </cell>
          <cell r="N70">
            <v>177.6</v>
          </cell>
          <cell r="O70">
            <v>71.3</v>
          </cell>
          <cell r="P70">
            <v>63.2</v>
          </cell>
          <cell r="Q70">
            <v>59.6</v>
          </cell>
          <cell r="R70">
            <v>194.1</v>
          </cell>
          <cell r="S70">
            <v>714.9</v>
          </cell>
          <cell r="T70">
            <v>1997</v>
          </cell>
        </row>
        <row r="71">
          <cell r="A71" t="str">
            <v>09-1998</v>
          </cell>
          <cell r="B71" t="str">
            <v>crude</v>
          </cell>
          <cell r="C71">
            <v>57</v>
          </cell>
          <cell r="D71">
            <v>61.2</v>
          </cell>
          <cell r="E71">
            <v>69.8</v>
          </cell>
          <cell r="F71">
            <v>188</v>
          </cell>
          <cell r="G71">
            <v>66.6</v>
          </cell>
          <cell r="H71">
            <v>60.9</v>
          </cell>
          <cell r="I71">
            <v>61.8</v>
          </cell>
          <cell r="J71">
            <v>189.3</v>
          </cell>
          <cell r="K71">
            <v>66.8</v>
          </cell>
          <cell r="L71">
            <v>50.8</v>
          </cell>
          <cell r="M71">
            <v>68.4</v>
          </cell>
          <cell r="N71">
            <v>186</v>
          </cell>
          <cell r="O71">
            <v>66.8</v>
          </cell>
          <cell r="T71">
            <v>1998</v>
          </cell>
        </row>
        <row r="72">
          <cell r="A72" t="str">
            <v>10-1994</v>
          </cell>
          <cell r="B72" t="str">
            <v>crude</v>
          </cell>
          <cell r="C72">
            <v>92.8</v>
          </cell>
          <cell r="D72">
            <v>100.4</v>
          </cell>
          <cell r="E72">
            <v>104.5</v>
          </cell>
          <cell r="F72">
            <v>99.2</v>
          </cell>
          <cell r="G72">
            <v>98.8</v>
          </cell>
          <cell r="H72">
            <v>106</v>
          </cell>
          <cell r="I72">
            <v>106.2</v>
          </cell>
          <cell r="J72">
            <v>103.7</v>
          </cell>
          <cell r="K72">
            <v>97.5</v>
          </cell>
          <cell r="L72">
            <v>87.3</v>
          </cell>
          <cell r="M72">
            <v>105.3</v>
          </cell>
          <cell r="N72">
            <v>96.7</v>
          </cell>
          <cell r="O72">
            <v>111.4</v>
          </cell>
          <cell r="P72">
            <v>112.6</v>
          </cell>
          <cell r="Q72">
            <v>112.6</v>
          </cell>
          <cell r="R72">
            <v>112.2</v>
          </cell>
          <cell r="S72">
            <v>103.2</v>
          </cell>
          <cell r="T72">
            <v>1994</v>
          </cell>
        </row>
        <row r="73">
          <cell r="A73" t="str">
            <v>10-1995</v>
          </cell>
          <cell r="B73" t="str">
            <v>crude</v>
          </cell>
          <cell r="C73">
            <v>102.1</v>
          </cell>
          <cell r="D73">
            <v>107.1</v>
          </cell>
          <cell r="E73">
            <v>108.9</v>
          </cell>
          <cell r="F73">
            <v>106</v>
          </cell>
          <cell r="G73">
            <v>109</v>
          </cell>
          <cell r="H73">
            <v>110.1</v>
          </cell>
          <cell r="I73">
            <v>114.6</v>
          </cell>
          <cell r="J73">
            <v>111.2</v>
          </cell>
          <cell r="K73">
            <v>104.4</v>
          </cell>
          <cell r="L73">
            <v>91.9</v>
          </cell>
          <cell r="M73">
            <v>111.1</v>
          </cell>
          <cell r="N73">
            <v>102.5</v>
          </cell>
          <cell r="O73">
            <v>110.8</v>
          </cell>
          <cell r="P73">
            <v>115.3</v>
          </cell>
          <cell r="Q73">
            <v>112.9</v>
          </cell>
          <cell r="R73">
            <v>113</v>
          </cell>
          <cell r="S73">
            <v>108.3</v>
          </cell>
          <cell r="T73">
            <v>1995</v>
          </cell>
        </row>
        <row r="74">
          <cell r="A74" t="str">
            <v>10-1996</v>
          </cell>
          <cell r="B74" t="str">
            <v>crude</v>
          </cell>
          <cell r="C74">
            <v>99.1</v>
          </cell>
          <cell r="D74">
            <v>106.2</v>
          </cell>
          <cell r="E74">
            <v>110.5</v>
          </cell>
          <cell r="F74">
            <v>105.3</v>
          </cell>
          <cell r="G74">
            <v>106.1</v>
          </cell>
          <cell r="H74">
            <v>110.2</v>
          </cell>
          <cell r="I74">
            <v>116</v>
          </cell>
          <cell r="J74">
            <v>110.8</v>
          </cell>
          <cell r="K74">
            <v>101.3</v>
          </cell>
          <cell r="L74">
            <v>90.7</v>
          </cell>
          <cell r="M74">
            <v>115.8</v>
          </cell>
          <cell r="N74">
            <v>102.6</v>
          </cell>
          <cell r="O74">
            <v>113.3</v>
          </cell>
          <cell r="P74">
            <v>119.1</v>
          </cell>
          <cell r="Q74">
            <v>121.4</v>
          </cell>
          <cell r="R74">
            <v>117.9</v>
          </cell>
          <cell r="S74">
            <v>109.1</v>
          </cell>
          <cell r="T74">
            <v>1996</v>
          </cell>
        </row>
        <row r="75">
          <cell r="A75" t="str">
            <v>10-1997</v>
          </cell>
          <cell r="B75" t="str">
            <v>crude</v>
          </cell>
          <cell r="C75">
            <v>103.4</v>
          </cell>
          <cell r="D75">
            <v>109.5</v>
          </cell>
          <cell r="E75">
            <v>116.1</v>
          </cell>
          <cell r="F75">
            <v>109.7</v>
          </cell>
          <cell r="G75">
            <v>113.9</v>
          </cell>
          <cell r="H75">
            <v>117</v>
          </cell>
          <cell r="I75">
            <v>117.7</v>
          </cell>
          <cell r="J75">
            <v>116.2</v>
          </cell>
          <cell r="K75">
            <v>104.8</v>
          </cell>
          <cell r="L75">
            <v>98.6</v>
          </cell>
          <cell r="M75">
            <v>118.3</v>
          </cell>
          <cell r="N75">
            <v>107.2</v>
          </cell>
          <cell r="O75">
            <v>120.4</v>
          </cell>
          <cell r="P75">
            <v>127.7</v>
          </cell>
          <cell r="Q75">
            <v>136.2</v>
          </cell>
          <cell r="R75">
            <v>128.1</v>
          </cell>
          <cell r="S75">
            <v>115.3</v>
          </cell>
          <cell r="T75">
            <v>1997</v>
          </cell>
        </row>
        <row r="76">
          <cell r="A76" t="str">
            <v>10-1998</v>
          </cell>
          <cell r="B76" t="str">
            <v>crude</v>
          </cell>
          <cell r="C76">
            <v>109.4</v>
          </cell>
          <cell r="D76">
            <v>117</v>
          </cell>
          <cell r="E76">
            <v>121.1</v>
          </cell>
          <cell r="F76">
            <v>115.8</v>
          </cell>
          <cell r="G76">
            <v>118.3</v>
          </cell>
          <cell r="H76">
            <v>125.3</v>
          </cell>
          <cell r="I76">
            <v>127.3</v>
          </cell>
          <cell r="J76">
            <v>123.6</v>
          </cell>
          <cell r="K76">
            <v>111.1</v>
          </cell>
          <cell r="L76">
            <v>99.7</v>
          </cell>
          <cell r="M76">
            <v>122.2</v>
          </cell>
          <cell r="N76">
            <v>111</v>
          </cell>
          <cell r="O76">
            <v>125.5</v>
          </cell>
          <cell r="T76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nationaltransportforum.org/statistics/investment/data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60"/>
  <sheetViews>
    <sheetView zoomScale="85" zoomScaleNormal="85" zoomScalePageLayoutView="0" workbookViewId="0" topLeftCell="A1">
      <selection activeCell="A61" sqref="A61"/>
    </sheetView>
  </sheetViews>
  <sheetFormatPr defaultColWidth="9.140625" defaultRowHeight="12.75"/>
  <cols>
    <col min="1" max="1" width="31.7109375" style="0" customWidth="1"/>
    <col min="3" max="3" width="10.140625" style="0" customWidth="1"/>
  </cols>
  <sheetData>
    <row r="1" s="7" customFormat="1" ht="12.75">
      <c r="A1" s="6" t="s">
        <v>40</v>
      </c>
    </row>
    <row r="2" ht="12.75">
      <c r="A2" s="8"/>
    </row>
    <row r="3" ht="12.75">
      <c r="A3" s="8" t="s">
        <v>55</v>
      </c>
    </row>
    <row r="4" ht="12.75">
      <c r="A4" s="9" t="s">
        <v>41</v>
      </c>
    </row>
    <row r="5" ht="12.75">
      <c r="A5" s="9"/>
    </row>
    <row r="6" ht="12.75">
      <c r="A6" s="9" t="s">
        <v>42</v>
      </c>
    </row>
    <row r="7" spans="1:3" ht="12.75">
      <c r="A7" s="10" t="s">
        <v>43</v>
      </c>
      <c r="B7" s="10"/>
      <c r="C7" s="10"/>
    </row>
    <row r="8" spans="1:3" ht="12.75">
      <c r="A8" s="10" t="s">
        <v>44</v>
      </c>
      <c r="B8" s="10"/>
      <c r="C8" s="10"/>
    </row>
    <row r="9" spans="1:3" ht="12.75">
      <c r="A9" s="11" t="s">
        <v>45</v>
      </c>
      <c r="B9" s="11"/>
      <c r="C9" s="11"/>
    </row>
    <row r="10" spans="1:3" ht="12.75">
      <c r="A10" s="100" t="s">
        <v>46</v>
      </c>
      <c r="B10" s="100"/>
      <c r="C10" s="100"/>
    </row>
    <row r="11" spans="1:3" ht="12.75">
      <c r="A11" s="107" t="s">
        <v>47</v>
      </c>
      <c r="B11" s="107"/>
      <c r="C11" s="107"/>
    </row>
    <row r="12" ht="12.75">
      <c r="A12" s="9"/>
    </row>
    <row r="13" spans="1:2" ht="12.75">
      <c r="A13" t="s">
        <v>48</v>
      </c>
      <c r="B13" t="s">
        <v>140</v>
      </c>
    </row>
    <row r="15" s="7" customFormat="1" ht="12.75">
      <c r="A15" s="6" t="s">
        <v>49</v>
      </c>
    </row>
    <row r="17" spans="1:2" ht="12.75">
      <c r="A17" s="5" t="s">
        <v>50</v>
      </c>
      <c r="B17" s="5" t="s">
        <v>51</v>
      </c>
    </row>
    <row r="18" spans="1:2" s="1" customFormat="1" ht="12.75">
      <c r="A18" s="42" t="s">
        <v>141</v>
      </c>
      <c r="B18" s="1" t="s">
        <v>52</v>
      </c>
    </row>
    <row r="19" spans="1:2" s="1" customFormat="1" ht="12.75">
      <c r="A19" s="42" t="s">
        <v>44</v>
      </c>
      <c r="B19" s="1" t="s">
        <v>53</v>
      </c>
    </row>
    <row r="20" spans="1:2" ht="12.75">
      <c r="A20" s="12" t="s">
        <v>149</v>
      </c>
      <c r="B20" s="1" t="s">
        <v>102</v>
      </c>
    </row>
    <row r="21" spans="1:2" ht="12.75">
      <c r="A21" s="43" t="s">
        <v>150</v>
      </c>
      <c r="B21" s="9" t="s">
        <v>177</v>
      </c>
    </row>
    <row r="22" spans="1:2" ht="12.75">
      <c r="A22" s="43" t="s">
        <v>151</v>
      </c>
      <c r="B22" s="12" t="s">
        <v>178</v>
      </c>
    </row>
    <row r="23" spans="1:2" ht="12.75">
      <c r="A23" s="43" t="s">
        <v>152</v>
      </c>
      <c r="B23" s="12" t="s">
        <v>179</v>
      </c>
    </row>
    <row r="24" spans="1:2" ht="12.75">
      <c r="A24" s="43" t="s">
        <v>153</v>
      </c>
      <c r="B24" s="12" t="s">
        <v>180</v>
      </c>
    </row>
    <row r="25" spans="1:2" ht="12.75">
      <c r="A25" s="43" t="s">
        <v>154</v>
      </c>
      <c r="B25" s="12" t="s">
        <v>181</v>
      </c>
    </row>
    <row r="26" spans="1:2" ht="12.75">
      <c r="A26" s="43" t="s">
        <v>155</v>
      </c>
      <c r="B26" s="12" t="s">
        <v>182</v>
      </c>
    </row>
    <row r="27" spans="1:2" ht="12.75">
      <c r="A27" s="100" t="s">
        <v>156</v>
      </c>
      <c r="B27" s="12" t="s">
        <v>183</v>
      </c>
    </row>
    <row r="28" spans="1:2" ht="12.75">
      <c r="A28" s="100" t="s">
        <v>157</v>
      </c>
      <c r="B28" s="12" t="s">
        <v>145</v>
      </c>
    </row>
    <row r="29" spans="1:2" ht="12.75">
      <c r="A29" s="100" t="s">
        <v>158</v>
      </c>
      <c r="B29" s="12" t="s">
        <v>144</v>
      </c>
    </row>
    <row r="30" spans="1:2" s="9" customFormat="1" ht="12.75">
      <c r="A30" s="107" t="s">
        <v>159</v>
      </c>
      <c r="B30" s="12" t="s">
        <v>191</v>
      </c>
    </row>
    <row r="31" spans="1:2" s="9" customFormat="1" ht="12.75">
      <c r="A31" s="107" t="s">
        <v>160</v>
      </c>
      <c r="B31" s="9" t="s">
        <v>103</v>
      </c>
    </row>
    <row r="32" spans="1:2" s="20" customFormat="1" ht="12.75">
      <c r="A32" s="107" t="s">
        <v>196</v>
      </c>
      <c r="B32" s="9" t="s">
        <v>139</v>
      </c>
    </row>
    <row r="33" spans="1:2" s="20" customFormat="1" ht="12.75">
      <c r="A33" s="107" t="s">
        <v>161</v>
      </c>
      <c r="B33" s="9" t="s">
        <v>204</v>
      </c>
    </row>
    <row r="34" spans="1:2" s="20" customFormat="1" ht="12.75">
      <c r="A34" s="107" t="s">
        <v>162</v>
      </c>
      <c r="B34" s="9" t="s">
        <v>203</v>
      </c>
    </row>
    <row r="35" spans="1:2" s="20" customFormat="1" ht="12.75">
      <c r="A35" s="107" t="s">
        <v>163</v>
      </c>
      <c r="B35" s="9" t="s">
        <v>202</v>
      </c>
    </row>
    <row r="36" spans="1:2" s="20" customFormat="1" ht="12.75">
      <c r="A36" s="107" t="s">
        <v>164</v>
      </c>
      <c r="B36" s="15" t="s">
        <v>142</v>
      </c>
    </row>
    <row r="37" spans="1:2" s="20" customFormat="1" ht="12.75">
      <c r="A37" s="107" t="s">
        <v>165</v>
      </c>
      <c r="B37" s="15" t="s">
        <v>143</v>
      </c>
    </row>
    <row r="38" ht="12.75">
      <c r="A38" s="12"/>
    </row>
    <row r="39" s="7" customFormat="1" ht="12.75">
      <c r="A39" s="6" t="s">
        <v>54</v>
      </c>
    </row>
    <row r="41" s="17" customFormat="1" ht="12.75">
      <c r="A41" s="16" t="s">
        <v>66</v>
      </c>
    </row>
    <row r="42" spans="1:2" ht="12.75">
      <c r="A42" t="s">
        <v>63</v>
      </c>
      <c r="B42" s="9" t="s">
        <v>67</v>
      </c>
    </row>
    <row r="43" spans="1:2" ht="12.75">
      <c r="A43" t="s">
        <v>64</v>
      </c>
      <c r="B43" s="9" t="s">
        <v>148</v>
      </c>
    </row>
    <row r="44" spans="1:2" ht="12.75">
      <c r="A44" t="s">
        <v>65</v>
      </c>
      <c r="B44" s="29" t="s">
        <v>119</v>
      </c>
    </row>
    <row r="45" spans="1:2" ht="12.75">
      <c r="A45" t="s">
        <v>69</v>
      </c>
      <c r="B45" t="s">
        <v>68</v>
      </c>
    </row>
    <row r="46" spans="1:2" ht="12.75">
      <c r="A46" t="s">
        <v>118</v>
      </c>
      <c r="B46" s="9" t="s">
        <v>120</v>
      </c>
    </row>
    <row r="48" s="17" customFormat="1" ht="12.75">
      <c r="A48" s="16" t="s">
        <v>101</v>
      </c>
    </row>
    <row r="49" spans="1:2" ht="12.75">
      <c r="A49" t="s">
        <v>63</v>
      </c>
      <c r="B49" s="9" t="s">
        <v>146</v>
      </c>
    </row>
    <row r="50" ht="12.75">
      <c r="B50" s="9" t="s">
        <v>147</v>
      </c>
    </row>
    <row r="51" spans="1:2" ht="12.75">
      <c r="A51" t="s">
        <v>64</v>
      </c>
      <c r="B51" t="s">
        <v>105</v>
      </c>
    </row>
    <row r="52" spans="1:2" ht="12.75">
      <c r="A52" t="s">
        <v>65</v>
      </c>
      <c r="B52" t="s">
        <v>104</v>
      </c>
    </row>
    <row r="53" spans="1:2" ht="12.75">
      <c r="A53" t="s">
        <v>69</v>
      </c>
      <c r="B53" t="s">
        <v>109</v>
      </c>
    </row>
    <row r="54" ht="12.75">
      <c r="B54" t="s">
        <v>106</v>
      </c>
    </row>
    <row r="55" ht="12.75">
      <c r="B55" t="s">
        <v>107</v>
      </c>
    </row>
    <row r="56" ht="12.75">
      <c r="B56" t="s">
        <v>108</v>
      </c>
    </row>
    <row r="58" ht="12.75">
      <c r="A58" s="9" t="s">
        <v>233</v>
      </c>
    </row>
    <row r="59" ht="12.75">
      <c r="A59" s="9" t="s">
        <v>234</v>
      </c>
    </row>
    <row r="60" ht="12.75">
      <c r="A60" s="9" t="s">
        <v>235</v>
      </c>
    </row>
  </sheetData>
  <sheetProtection/>
  <hyperlinks>
    <hyperlink ref="B44" r:id="rId1" display="http://www.internationaltransportforum.org/statistics/investment/data.ht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X44"/>
  <sheetViews>
    <sheetView zoomScale="90" zoomScaleNormal="90" zoomScalePageLayoutView="0" workbookViewId="0" topLeftCell="B10">
      <selection activeCell="B30" sqref="B30"/>
    </sheetView>
  </sheetViews>
  <sheetFormatPr defaultColWidth="9.140625" defaultRowHeight="12.75"/>
  <cols>
    <col min="1" max="1" width="28.140625" style="15" customWidth="1"/>
    <col min="2" max="4" width="18.8515625" style="15" customWidth="1"/>
    <col min="5" max="5" width="16.28125" style="15" customWidth="1"/>
    <col min="6" max="6" width="16.57421875" style="15" customWidth="1"/>
    <col min="7" max="7" width="16.421875" style="15" customWidth="1"/>
    <col min="8" max="8" width="16.57421875" style="15" customWidth="1"/>
    <col min="9" max="9" width="17.00390625" style="15" customWidth="1"/>
    <col min="10" max="10" width="16.7109375" style="15" customWidth="1"/>
    <col min="11" max="11" width="16.8515625" style="15" customWidth="1"/>
    <col min="12" max="14" width="18.00390625" style="15" customWidth="1"/>
    <col min="15" max="16384" width="9.140625" style="15" customWidth="1"/>
  </cols>
  <sheetData>
    <row r="1" ht="15.75">
      <c r="A1" s="46" t="s">
        <v>192</v>
      </c>
    </row>
    <row r="3" spans="1:24" ht="12.75">
      <c r="A3" s="108" t="s">
        <v>36</v>
      </c>
      <c r="B3" s="106">
        <v>1995</v>
      </c>
      <c r="C3" s="106">
        <v>1996</v>
      </c>
      <c r="D3" s="106">
        <v>1997</v>
      </c>
      <c r="E3" s="106">
        <v>1998</v>
      </c>
      <c r="F3" s="106">
        <v>1999</v>
      </c>
      <c r="G3" s="106">
        <v>2000</v>
      </c>
      <c r="H3" s="106">
        <v>2001</v>
      </c>
      <c r="I3" s="106">
        <v>2002</v>
      </c>
      <c r="J3" s="106">
        <v>2003</v>
      </c>
      <c r="K3" s="106">
        <v>2004</v>
      </c>
      <c r="L3" s="106">
        <v>2005</v>
      </c>
      <c r="M3" s="106">
        <v>2006</v>
      </c>
      <c r="N3" s="106">
        <v>2007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2.75">
      <c r="A4" s="86" t="s">
        <v>193</v>
      </c>
      <c r="B4" s="79">
        <f>'GDP BD'!I80</f>
        <v>6056195407109.957</v>
      </c>
      <c r="C4" s="79">
        <f>'GDP BD'!J80</f>
        <v>6170011727160.87</v>
      </c>
      <c r="D4" s="110">
        <f>'GDP BD'!K80</f>
        <v>6336328877007.078</v>
      </c>
      <c r="E4" s="110">
        <f>'GDP BD'!L80</f>
        <v>6533444746016.231</v>
      </c>
      <c r="F4" s="110">
        <f>'GDP BD'!M80</f>
        <v>6725231729743.41</v>
      </c>
      <c r="G4" s="110">
        <f>'GDP BD'!N80</f>
        <v>6979562959508.063</v>
      </c>
      <c r="H4" s="110">
        <f>'GDP BD'!O80</f>
        <v>7114952172066.197</v>
      </c>
      <c r="I4" s="110">
        <f>'GDP BD'!P80</f>
        <v>7199438894150.049</v>
      </c>
      <c r="J4" s="110">
        <f>'GDP BD'!Q80</f>
        <v>7291923707354.217</v>
      </c>
      <c r="K4" s="110">
        <f>'GDP BD'!R80</f>
        <v>7463807549906.073</v>
      </c>
      <c r="L4" s="110">
        <f>'GDP BD'!S80</f>
        <v>7610350981179.427</v>
      </c>
      <c r="M4" s="110">
        <f>'GDP BD'!T80</f>
        <v>7836893210578.61</v>
      </c>
      <c r="N4" s="110">
        <f>'GDP BD'!U80</f>
        <v>8056428230580.945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2.75">
      <c r="A5" s="85" t="s">
        <v>194</v>
      </c>
      <c r="B5" s="110">
        <f>'BD Aggreg'!F38</f>
        <v>35901442458.271164</v>
      </c>
      <c r="C5" s="110">
        <f>'BD Aggreg'!G38</f>
        <v>36222212138.09453</v>
      </c>
      <c r="D5" s="110">
        <f>'BD Aggreg'!H38</f>
        <v>36737728124.62972</v>
      </c>
      <c r="E5" s="110">
        <f>'BD Aggreg'!I38</f>
        <v>36472108096.77392</v>
      </c>
      <c r="F5" s="110">
        <f>'BD Aggreg'!J38</f>
        <v>36407341931.442604</v>
      </c>
      <c r="G5" s="110">
        <f>'BD Aggreg'!K38</f>
        <v>39742316286.90952</v>
      </c>
      <c r="H5" s="110">
        <f>'BD Aggreg'!L38</f>
        <v>41293316016.40507</v>
      </c>
      <c r="I5" s="110">
        <f>'BD Aggreg'!M38</f>
        <v>42635936165.952354</v>
      </c>
      <c r="J5" s="110">
        <f>'BD Aggreg'!N38</f>
        <v>42161948461.48543</v>
      </c>
      <c r="K5" s="110">
        <f>'BD Aggreg'!O38</f>
        <v>45928165003.05856</v>
      </c>
      <c r="L5" s="110">
        <f>'BD Aggreg'!P38</f>
        <v>48400562618.748146</v>
      </c>
      <c r="M5" s="110">
        <f>'BD Aggreg'!Q38</f>
        <v>49325291946.82593</v>
      </c>
      <c r="N5" s="110">
        <f>'BD Aggreg'!R38</f>
        <v>48922044899.78825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s="41" customFormat="1" ht="12.75">
      <c r="A6" s="109" t="s">
        <v>137</v>
      </c>
      <c r="B6" s="104">
        <f>(100/B4)*B5</f>
        <v>0.5928052191995484</v>
      </c>
      <c r="C6" s="104">
        <f aca="true" t="shared" si="0" ref="C6:N6">(100/C4)*C5</f>
        <v>0.5870687729594021</v>
      </c>
      <c r="D6" s="104">
        <f t="shared" si="0"/>
        <v>0.57979515959062</v>
      </c>
      <c r="E6" s="104">
        <f t="shared" si="0"/>
        <v>0.5582370329069177</v>
      </c>
      <c r="F6" s="104">
        <f t="shared" si="0"/>
        <v>0.5413544602548835</v>
      </c>
      <c r="G6" s="104">
        <f t="shared" si="0"/>
        <v>0.5694098114376872</v>
      </c>
      <c r="H6" s="104">
        <f t="shared" si="0"/>
        <v>0.5803737680560318</v>
      </c>
      <c r="I6" s="104">
        <f t="shared" si="0"/>
        <v>0.5922119319687047</v>
      </c>
      <c r="J6" s="104">
        <f t="shared" si="0"/>
        <v>0.5782006251514028</v>
      </c>
      <c r="K6" s="104">
        <f t="shared" si="0"/>
        <v>0.6153449790333425</v>
      </c>
      <c r="L6" s="104">
        <f t="shared" si="0"/>
        <v>0.6359833171747775</v>
      </c>
      <c r="M6" s="104">
        <f t="shared" si="0"/>
        <v>0.629398546355644</v>
      </c>
      <c r="N6" s="104">
        <f t="shared" si="0"/>
        <v>0.607242359760468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ht="12.75">
      <c r="A7" s="56"/>
      <c r="B7" s="111"/>
      <c r="C7" s="58"/>
      <c r="D7" s="58"/>
      <c r="E7" s="58"/>
      <c r="F7" s="58"/>
      <c r="G7" s="58"/>
      <c r="H7" s="58"/>
      <c r="I7" s="58"/>
      <c r="J7" s="58"/>
      <c r="K7" s="58"/>
      <c r="L7" s="50"/>
      <c r="M7" s="50"/>
      <c r="N7" s="105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4" ht="12.75">
      <c r="A8" s="108" t="s">
        <v>37</v>
      </c>
      <c r="B8" s="106">
        <v>1995</v>
      </c>
      <c r="C8" s="106">
        <v>1996</v>
      </c>
      <c r="D8" s="106">
        <v>1997</v>
      </c>
      <c r="E8" s="106">
        <v>1998</v>
      </c>
      <c r="F8" s="106">
        <v>1999</v>
      </c>
      <c r="G8" s="106">
        <v>2000</v>
      </c>
      <c r="H8" s="106">
        <v>2001</v>
      </c>
      <c r="I8" s="106">
        <v>2002</v>
      </c>
      <c r="J8" s="106">
        <v>2003</v>
      </c>
      <c r="K8" s="106">
        <v>2004</v>
      </c>
      <c r="L8" s="106">
        <v>2005</v>
      </c>
      <c r="M8" s="106">
        <v>2006</v>
      </c>
      <c r="N8" s="106">
        <v>2007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2.75">
      <c r="A9" s="86" t="s">
        <v>193</v>
      </c>
      <c r="B9" s="79">
        <f>B4</f>
        <v>6056195407109.957</v>
      </c>
      <c r="C9" s="79">
        <f aca="true" t="shared" si="1" ref="C9:N9">C4</f>
        <v>6170011727160.87</v>
      </c>
      <c r="D9" s="110">
        <f>D4</f>
        <v>6336328877007.078</v>
      </c>
      <c r="E9" s="110">
        <f t="shared" si="1"/>
        <v>6533444746016.231</v>
      </c>
      <c r="F9" s="110">
        <f t="shared" si="1"/>
        <v>6725231729743.41</v>
      </c>
      <c r="G9" s="110">
        <f t="shared" si="1"/>
        <v>6979562959508.063</v>
      </c>
      <c r="H9" s="110">
        <f t="shared" si="1"/>
        <v>7114952172066.197</v>
      </c>
      <c r="I9" s="110">
        <f t="shared" si="1"/>
        <v>7199438894150.049</v>
      </c>
      <c r="J9" s="110">
        <f t="shared" si="1"/>
        <v>7291923707354.217</v>
      </c>
      <c r="K9" s="110">
        <f t="shared" si="1"/>
        <v>7463807549906.073</v>
      </c>
      <c r="L9" s="110">
        <f t="shared" si="1"/>
        <v>7610350981179.427</v>
      </c>
      <c r="M9" s="110">
        <f t="shared" si="1"/>
        <v>7836893210578.61</v>
      </c>
      <c r="N9" s="110">
        <f t="shared" si="1"/>
        <v>8056428230580.945</v>
      </c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ht="12.75">
      <c r="A10" s="85" t="s">
        <v>194</v>
      </c>
      <c r="B10" s="110">
        <f>'BD Aggreg'!F39</f>
        <v>14912734912.349361</v>
      </c>
      <c r="C10" s="110">
        <f>'BD Aggreg'!G39</f>
        <v>15665836572.77825</v>
      </c>
      <c r="D10" s="110">
        <f>'BD Aggreg'!H39</f>
        <v>16136562790.980455</v>
      </c>
      <c r="E10" s="110">
        <f>'BD Aggreg'!I39</f>
        <v>16384206257.372498</v>
      </c>
      <c r="F10" s="110">
        <f>'BD Aggreg'!J39</f>
        <v>20783125818.80743</v>
      </c>
      <c r="G10" s="110">
        <f>'BD Aggreg'!K39</f>
        <v>18638405587.892452</v>
      </c>
      <c r="H10" s="110">
        <f>'BD Aggreg'!L39</f>
        <v>19729067930.234657</v>
      </c>
      <c r="I10" s="110">
        <f>'BD Aggreg'!M39</f>
        <v>24096961683.945248</v>
      </c>
      <c r="J10" s="110">
        <f>'BD Aggreg'!N39</f>
        <v>25542569454.210045</v>
      </c>
      <c r="K10" s="110">
        <f>'BD Aggreg'!O39</f>
        <v>23855437881.337173</v>
      </c>
      <c r="L10" s="110">
        <f>'BD Aggreg'!P39</f>
        <v>22400424511.3283</v>
      </c>
      <c r="M10" s="110">
        <f>'BD Aggreg'!Q39</f>
        <v>24409345490.874924</v>
      </c>
      <c r="N10" s="110">
        <f>'BD Aggreg'!R39</f>
        <v>26163677152.84475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s="41" customFormat="1" ht="12.75">
      <c r="A11" s="109" t="s">
        <v>137</v>
      </c>
      <c r="B11" s="104">
        <f>(100/B9)*B10</f>
        <v>0.24623932865247136</v>
      </c>
      <c r="C11" s="104">
        <f aca="true" t="shared" si="2" ref="C11:N11">(100/C9)*C10</f>
        <v>0.25390286543242735</v>
      </c>
      <c r="D11" s="104">
        <f t="shared" si="2"/>
        <v>0.2546673808162946</v>
      </c>
      <c r="E11" s="104">
        <f t="shared" si="2"/>
        <v>0.25077439075860813</v>
      </c>
      <c r="F11" s="104">
        <f t="shared" si="2"/>
        <v>0.3090321144904307</v>
      </c>
      <c r="G11" s="104">
        <f t="shared" si="2"/>
        <v>0.267042588425997</v>
      </c>
      <c r="H11" s="104">
        <f t="shared" si="2"/>
        <v>0.2772902396686849</v>
      </c>
      <c r="I11" s="104">
        <f t="shared" si="2"/>
        <v>0.33470610749297963</v>
      </c>
      <c r="J11" s="104">
        <f t="shared" si="2"/>
        <v>0.3502857473460573</v>
      </c>
      <c r="K11" s="104">
        <f t="shared" si="2"/>
        <v>0.31961485772281706</v>
      </c>
      <c r="L11" s="104">
        <f t="shared" si="2"/>
        <v>0.294341543073704</v>
      </c>
      <c r="M11" s="104">
        <f t="shared" si="2"/>
        <v>0.3114671188568198</v>
      </c>
      <c r="N11" s="104">
        <f t="shared" si="2"/>
        <v>0.32475529358694605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</row>
    <row r="12" spans="1:24" ht="12.7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71"/>
      <c r="M12" s="50"/>
      <c r="N12" s="105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12.75">
      <c r="A13" s="108" t="s">
        <v>35</v>
      </c>
      <c r="B13" s="106">
        <v>1995</v>
      </c>
      <c r="C13" s="106">
        <v>1996</v>
      </c>
      <c r="D13" s="106">
        <v>1997</v>
      </c>
      <c r="E13" s="106">
        <v>1998</v>
      </c>
      <c r="F13" s="106">
        <v>1999</v>
      </c>
      <c r="G13" s="106">
        <v>2000</v>
      </c>
      <c r="H13" s="106">
        <v>2001</v>
      </c>
      <c r="I13" s="106">
        <v>2002</v>
      </c>
      <c r="J13" s="106">
        <v>2003</v>
      </c>
      <c r="K13" s="106">
        <v>2004</v>
      </c>
      <c r="L13" s="106">
        <v>2005</v>
      </c>
      <c r="M13" s="106">
        <v>2006</v>
      </c>
      <c r="N13" s="106">
        <v>2007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12.75">
      <c r="A14" s="86" t="s">
        <v>193</v>
      </c>
      <c r="B14" s="79">
        <f aca="true" t="shared" si="3" ref="B14:N14">B4</f>
        <v>6056195407109.957</v>
      </c>
      <c r="C14" s="79">
        <f t="shared" si="3"/>
        <v>6170011727160.87</v>
      </c>
      <c r="D14" s="110">
        <f t="shared" si="3"/>
        <v>6336328877007.078</v>
      </c>
      <c r="E14" s="110">
        <f t="shared" si="3"/>
        <v>6533444746016.231</v>
      </c>
      <c r="F14" s="110">
        <f t="shared" si="3"/>
        <v>6725231729743.41</v>
      </c>
      <c r="G14" s="110">
        <f t="shared" si="3"/>
        <v>6979562959508.063</v>
      </c>
      <c r="H14" s="110">
        <f t="shared" si="3"/>
        <v>7114952172066.197</v>
      </c>
      <c r="I14" s="110">
        <f t="shared" si="3"/>
        <v>7199438894150.049</v>
      </c>
      <c r="J14" s="110">
        <f t="shared" si="3"/>
        <v>7291923707354.217</v>
      </c>
      <c r="K14" s="110">
        <f t="shared" si="3"/>
        <v>7463807549906.073</v>
      </c>
      <c r="L14" s="110">
        <f t="shared" si="3"/>
        <v>7610350981179.427</v>
      </c>
      <c r="M14" s="110">
        <f t="shared" si="3"/>
        <v>7836893210578.61</v>
      </c>
      <c r="N14" s="110">
        <f t="shared" si="3"/>
        <v>8056428230580.945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2.75">
      <c r="A15" s="85" t="s">
        <v>194</v>
      </c>
      <c r="B15" s="110">
        <f>'BD Aggreg'!F40</f>
        <v>856082214.2510295</v>
      </c>
      <c r="C15" s="110">
        <f>'BD Aggreg'!G40</f>
        <v>850431833.0837077</v>
      </c>
      <c r="D15" s="110">
        <f>'BD Aggreg'!H40</f>
        <v>881454253.6234498</v>
      </c>
      <c r="E15" s="110">
        <f>'BD Aggreg'!I40</f>
        <v>969666760.7913185</v>
      </c>
      <c r="F15" s="110">
        <f>'BD Aggreg'!J40</f>
        <v>977952031.262037</v>
      </c>
      <c r="G15" s="110">
        <f>'BD Aggreg'!K40</f>
        <v>972971257.2717444</v>
      </c>
      <c r="H15" s="110">
        <f>'BD Aggreg'!L40</f>
        <v>979552432.6610135</v>
      </c>
      <c r="I15" s="110">
        <f>'BD Aggreg'!M40</f>
        <v>970196439.5108013</v>
      </c>
      <c r="J15" s="110">
        <f>'BD Aggreg'!N40</f>
        <v>986292203.5982724</v>
      </c>
      <c r="K15" s="110">
        <f>'BD Aggreg'!O40</f>
        <v>936547541.7604254</v>
      </c>
      <c r="L15" s="110">
        <f>'BD Aggreg'!P40</f>
        <v>937339696.9084274</v>
      </c>
      <c r="M15" s="110">
        <f>'BD Aggreg'!Q40</f>
        <v>1008519966.0658119</v>
      </c>
      <c r="N15" s="110">
        <f>'BD Aggreg'!R40</f>
        <v>1021583703.4671305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1:24" s="41" customFormat="1" ht="12.75">
      <c r="A16" s="109" t="s">
        <v>137</v>
      </c>
      <c r="B16" s="104">
        <f>(100/B14)*B15</f>
        <v>0.014135643860599203</v>
      </c>
      <c r="C16" s="104">
        <f aca="true" t="shared" si="4" ref="C16:N16">(100/C14)*C15</f>
        <v>0.01378330983294636</v>
      </c>
      <c r="D16" s="104">
        <f t="shared" si="4"/>
        <v>0.0139111190522642</v>
      </c>
      <c r="E16" s="104">
        <f t="shared" si="4"/>
        <v>0.01484158508239582</v>
      </c>
      <c r="F16" s="104">
        <f t="shared" si="4"/>
        <v>0.014541536567980077</v>
      </c>
      <c r="G16" s="104">
        <f t="shared" si="4"/>
        <v>0.013940289140114323</v>
      </c>
      <c r="H16" s="104">
        <f t="shared" si="4"/>
        <v>0.0137675195696579</v>
      </c>
      <c r="I16" s="104">
        <f t="shared" si="4"/>
        <v>0.013476000751935554</v>
      </c>
      <c r="J16" s="104">
        <f t="shared" si="4"/>
        <v>0.013525816275389093</v>
      </c>
      <c r="K16" s="104">
        <f t="shared" si="4"/>
        <v>0.012547852225533484</v>
      </c>
      <c r="L16" s="104">
        <f t="shared" si="4"/>
        <v>0.012316642152595722</v>
      </c>
      <c r="M16" s="104">
        <f t="shared" si="4"/>
        <v>0.012868874679885439</v>
      </c>
      <c r="N16" s="104">
        <f t="shared" si="4"/>
        <v>0.012680355043558363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ht="12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71"/>
      <c r="M17" s="50"/>
      <c r="N17" s="105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1:14" ht="12.75">
      <c r="A18" s="108" t="s">
        <v>131</v>
      </c>
      <c r="B18" s="106">
        <v>1995</v>
      </c>
      <c r="C18" s="106">
        <v>1996</v>
      </c>
      <c r="D18" s="106">
        <v>1997</v>
      </c>
      <c r="E18" s="106">
        <v>1998</v>
      </c>
      <c r="F18" s="106">
        <v>1999</v>
      </c>
      <c r="G18" s="106">
        <v>2000</v>
      </c>
      <c r="H18" s="106">
        <v>2001</v>
      </c>
      <c r="I18" s="106">
        <v>2002</v>
      </c>
      <c r="J18" s="106">
        <v>2003</v>
      </c>
      <c r="K18" s="106">
        <v>2004</v>
      </c>
      <c r="L18" s="106">
        <v>2005</v>
      </c>
      <c r="M18" s="106">
        <v>2006</v>
      </c>
      <c r="N18" s="106">
        <v>2007</v>
      </c>
    </row>
    <row r="19" spans="1:14" ht="12.75">
      <c r="A19" s="86" t="s">
        <v>193</v>
      </c>
      <c r="B19" s="79">
        <f>B4</f>
        <v>6056195407109.957</v>
      </c>
      <c r="C19" s="79">
        <f>C4</f>
        <v>6170011727160.87</v>
      </c>
      <c r="D19" s="110">
        <f>D4</f>
        <v>6336328877007.078</v>
      </c>
      <c r="E19" s="110">
        <f>E4</f>
        <v>6533444746016.231</v>
      </c>
      <c r="F19" s="110">
        <f aca="true" t="shared" si="5" ref="F19:N19">F4</f>
        <v>6725231729743.41</v>
      </c>
      <c r="G19" s="110">
        <f t="shared" si="5"/>
        <v>6979562959508.063</v>
      </c>
      <c r="H19" s="110">
        <f t="shared" si="5"/>
        <v>7114952172066.197</v>
      </c>
      <c r="I19" s="110">
        <f t="shared" si="5"/>
        <v>7199438894150.049</v>
      </c>
      <c r="J19" s="110">
        <f t="shared" si="5"/>
        <v>7291923707354.217</v>
      </c>
      <c r="K19" s="110">
        <f t="shared" si="5"/>
        <v>7463807549906.073</v>
      </c>
      <c r="L19" s="110">
        <f t="shared" si="5"/>
        <v>7610350981179.427</v>
      </c>
      <c r="M19" s="110">
        <f t="shared" si="5"/>
        <v>7836893210578.61</v>
      </c>
      <c r="N19" s="110">
        <f t="shared" si="5"/>
        <v>8056428230580.945</v>
      </c>
    </row>
    <row r="20" spans="1:14" ht="12.75">
      <c r="A20" s="85" t="s">
        <v>194</v>
      </c>
      <c r="B20" s="110">
        <f>'BD Aggreg'!F41</f>
        <v>1604850632.931417</v>
      </c>
      <c r="C20" s="110">
        <f>'BD Aggreg'!G41</f>
        <v>1556716926.1067944</v>
      </c>
      <c r="D20" s="110">
        <f>'BD Aggreg'!H41</f>
        <v>1729805383.747168</v>
      </c>
      <c r="E20" s="110">
        <f>'BD Aggreg'!I41</f>
        <v>1744254285.449948</v>
      </c>
      <c r="F20" s="110">
        <f>'BD Aggreg'!J41</f>
        <v>1830774614.9227743</v>
      </c>
      <c r="G20" s="110">
        <f>'BD Aggreg'!K41</f>
        <v>1988001056.6390898</v>
      </c>
      <c r="H20" s="110">
        <f>'BD Aggreg'!L41</f>
        <v>2096596484.8178864</v>
      </c>
      <c r="I20" s="110">
        <f>'BD Aggreg'!M41</f>
        <v>2671832913.378322</v>
      </c>
      <c r="J20" s="110">
        <f>'BD Aggreg'!N41</f>
        <v>2490089608.094419</v>
      </c>
      <c r="K20" s="110">
        <f>'BD Aggreg'!O41</f>
        <v>2448403130.604844</v>
      </c>
      <c r="L20" s="110">
        <f>'BD Aggreg'!P41</f>
        <v>2610944989.8590903</v>
      </c>
      <c r="M20" s="110">
        <f>'BD Aggreg'!Q41</f>
        <v>2982242856.3639894</v>
      </c>
      <c r="N20" s="110">
        <f>'BD Aggreg'!R41</f>
        <v>3098077092.1400847</v>
      </c>
    </row>
    <row r="21" spans="1:14" s="41" customFormat="1" ht="12.75">
      <c r="A21" s="109" t="s">
        <v>137</v>
      </c>
      <c r="B21" s="104">
        <f>(100/B19)*B20</f>
        <v>0.026499320531291424</v>
      </c>
      <c r="C21" s="104">
        <f aca="true" t="shared" si="6" ref="C21:N21">(100/C19)*C20</f>
        <v>0.025230372241498437</v>
      </c>
      <c r="D21" s="104">
        <f t="shared" si="6"/>
        <v>0.027299804308204247</v>
      </c>
      <c r="E21" s="104">
        <f t="shared" si="6"/>
        <v>0.026697314406975082</v>
      </c>
      <c r="F21" s="104">
        <f t="shared" si="6"/>
        <v>0.027222476317446155</v>
      </c>
      <c r="G21" s="104">
        <f t="shared" si="6"/>
        <v>0.028483173920379808</v>
      </c>
      <c r="H21" s="104">
        <f t="shared" si="6"/>
        <v>0.02946747123683096</v>
      </c>
      <c r="I21" s="104">
        <f t="shared" si="6"/>
        <v>0.03711168262778558</v>
      </c>
      <c r="J21" s="104">
        <f t="shared" si="6"/>
        <v>0.03414859655735368</v>
      </c>
      <c r="K21" s="104">
        <f t="shared" si="6"/>
        <v>0.03280367445481168</v>
      </c>
      <c r="L21" s="104">
        <f t="shared" si="6"/>
        <v>0.034307813086623964</v>
      </c>
      <c r="M21" s="104">
        <f t="shared" si="6"/>
        <v>0.03805389171742721</v>
      </c>
      <c r="N21" s="104">
        <f t="shared" si="6"/>
        <v>0.038454722160625315</v>
      </c>
    </row>
    <row r="22" spans="1:14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71"/>
      <c r="M22" s="71"/>
      <c r="N22" s="50"/>
    </row>
    <row r="23" spans="1:14" ht="12.75">
      <c r="A23" s="108" t="s">
        <v>38</v>
      </c>
      <c r="B23" s="106">
        <v>1995</v>
      </c>
      <c r="C23" s="106">
        <v>1996</v>
      </c>
      <c r="D23" s="106">
        <v>1997</v>
      </c>
      <c r="E23" s="106">
        <v>1998</v>
      </c>
      <c r="F23" s="106">
        <v>1999</v>
      </c>
      <c r="G23" s="106">
        <v>2000</v>
      </c>
      <c r="H23" s="106">
        <v>2001</v>
      </c>
      <c r="I23" s="106">
        <v>2002</v>
      </c>
      <c r="J23" s="106">
        <v>2003</v>
      </c>
      <c r="K23" s="106">
        <v>2004</v>
      </c>
      <c r="L23" s="106">
        <v>2005</v>
      </c>
      <c r="M23" s="106">
        <v>2006</v>
      </c>
      <c r="N23" s="106">
        <v>2007</v>
      </c>
    </row>
    <row r="24" spans="1:14" ht="12.75">
      <c r="A24" s="86" t="s">
        <v>193</v>
      </c>
      <c r="B24" s="79">
        <f>B4</f>
        <v>6056195407109.957</v>
      </c>
      <c r="C24" s="79">
        <f>C4</f>
        <v>6170011727160.87</v>
      </c>
      <c r="D24" s="110">
        <f>D4</f>
        <v>6336328877007.078</v>
      </c>
      <c r="E24" s="110">
        <f aca="true" t="shared" si="7" ref="E24:N24">E4</f>
        <v>6533444746016.231</v>
      </c>
      <c r="F24" s="110">
        <f t="shared" si="7"/>
        <v>6725231729743.41</v>
      </c>
      <c r="G24" s="110">
        <f t="shared" si="7"/>
        <v>6979562959508.063</v>
      </c>
      <c r="H24" s="110">
        <f t="shared" si="7"/>
        <v>7114952172066.197</v>
      </c>
      <c r="I24" s="110">
        <f t="shared" si="7"/>
        <v>7199438894150.049</v>
      </c>
      <c r="J24" s="110">
        <f t="shared" si="7"/>
        <v>7291923707354.217</v>
      </c>
      <c r="K24" s="110">
        <f t="shared" si="7"/>
        <v>7463807549906.073</v>
      </c>
      <c r="L24" s="110">
        <f t="shared" si="7"/>
        <v>7610350981179.427</v>
      </c>
      <c r="M24" s="110">
        <f t="shared" si="7"/>
        <v>7836893210578.61</v>
      </c>
      <c r="N24" s="110">
        <f t="shared" si="7"/>
        <v>8056428230580.945</v>
      </c>
    </row>
    <row r="25" spans="1:14" ht="12.75">
      <c r="A25" s="85" t="s">
        <v>194</v>
      </c>
      <c r="B25" s="110">
        <f>'BD Aggreg'!F42</f>
        <v>3476918482.6487503</v>
      </c>
      <c r="C25" s="110">
        <f>'BD Aggreg'!G42</f>
        <v>3196339463.3535743</v>
      </c>
      <c r="D25" s="110">
        <f>'BD Aggreg'!H42</f>
        <v>3824732631.8472323</v>
      </c>
      <c r="E25" s="110">
        <f>'BD Aggreg'!I42</f>
        <v>4062163736.623325</v>
      </c>
      <c r="F25" s="110">
        <f>'BD Aggreg'!J42</f>
        <v>4154447546.1266885</v>
      </c>
      <c r="G25" s="110">
        <f>'BD Aggreg'!K42</f>
        <v>4827614711.50733</v>
      </c>
      <c r="H25" s="110">
        <f>'BD Aggreg'!L42</f>
        <v>5088299865.5360775</v>
      </c>
      <c r="I25" s="110">
        <f>'BD Aggreg'!M42</f>
        <v>5546821258.320382</v>
      </c>
      <c r="J25" s="110">
        <f>'BD Aggreg'!N42</f>
        <v>6835292414.76102</v>
      </c>
      <c r="K25" s="110">
        <f>'BD Aggreg'!O42</f>
        <v>6420240476.221709</v>
      </c>
      <c r="L25" s="110">
        <f>'BD Aggreg'!P42</f>
        <v>6631493961.661881</v>
      </c>
      <c r="M25" s="110">
        <f>'BD Aggreg'!Q42</f>
        <v>6691435095.382228</v>
      </c>
      <c r="N25" s="110">
        <f>'BD Aggreg'!R42</f>
        <v>8060788596.461916</v>
      </c>
    </row>
    <row r="26" spans="1:14" s="41" customFormat="1" ht="12.75">
      <c r="A26" s="109" t="s">
        <v>137</v>
      </c>
      <c r="B26" s="104">
        <f>(100/B24)*B25</f>
        <v>0.05741093622188705</v>
      </c>
      <c r="C26" s="104">
        <f aca="true" t="shared" si="8" ref="C26:N26">(100/C24)*C25</f>
        <v>0.05180443092649306</v>
      </c>
      <c r="D26" s="104">
        <f t="shared" si="8"/>
        <v>0.06036196520237787</v>
      </c>
      <c r="E26" s="104">
        <f t="shared" si="8"/>
        <v>0.06217491529411386</v>
      </c>
      <c r="F26" s="104">
        <f t="shared" si="8"/>
        <v>0.061774043082455904</v>
      </c>
      <c r="G26" s="104">
        <f t="shared" si="8"/>
        <v>0.06916786537373096</v>
      </c>
      <c r="H26" s="104">
        <f t="shared" si="8"/>
        <v>0.07151558777180682</v>
      </c>
      <c r="I26" s="104">
        <f t="shared" si="8"/>
        <v>0.07704518838027069</v>
      </c>
      <c r="J26" s="104">
        <f t="shared" si="8"/>
        <v>0.0937378487362304</v>
      </c>
      <c r="K26" s="104">
        <f t="shared" si="8"/>
        <v>0.08601830142716506</v>
      </c>
      <c r="L26" s="104">
        <f t="shared" si="8"/>
        <v>0.08713782029319961</v>
      </c>
      <c r="M26" s="104">
        <f t="shared" si="8"/>
        <v>0.08538377282402944</v>
      </c>
      <c r="N26" s="104">
        <f t="shared" si="8"/>
        <v>0.10005412281666483</v>
      </c>
    </row>
    <row r="27" spans="1:14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50"/>
    </row>
    <row r="28" spans="1:14" ht="12.75">
      <c r="A28" s="109" t="s">
        <v>195</v>
      </c>
      <c r="B28" s="112">
        <f>B6+B11+B16+B21+B26</f>
        <v>0.9370904484657975</v>
      </c>
      <c r="C28" s="112">
        <f>C6+C11+C16+C21+C26</f>
        <v>0.9317897513927673</v>
      </c>
      <c r="D28" s="112">
        <f>D6+D11+D16+D21+D26</f>
        <v>0.9360354289697609</v>
      </c>
      <c r="E28" s="112">
        <f aca="true" t="shared" si="9" ref="E28:N28">E6+E11+E16+E21+E26</f>
        <v>0.9127252384490108</v>
      </c>
      <c r="F28" s="112">
        <f t="shared" si="9"/>
        <v>0.9539246307131964</v>
      </c>
      <c r="G28" s="112">
        <f t="shared" si="9"/>
        <v>0.9480437282979093</v>
      </c>
      <c r="H28" s="112">
        <f t="shared" si="9"/>
        <v>0.9724145863030123</v>
      </c>
      <c r="I28" s="112">
        <f t="shared" si="9"/>
        <v>1.0545509112216762</v>
      </c>
      <c r="J28" s="112">
        <f t="shared" si="9"/>
        <v>1.0698986340664334</v>
      </c>
      <c r="K28" s="112">
        <f t="shared" si="9"/>
        <v>1.0663296648636698</v>
      </c>
      <c r="L28" s="112">
        <f t="shared" si="9"/>
        <v>1.064087135780901</v>
      </c>
      <c r="M28" s="112">
        <f t="shared" si="9"/>
        <v>1.077172204433806</v>
      </c>
      <c r="N28" s="112">
        <f t="shared" si="9"/>
        <v>1.0831868533682627</v>
      </c>
    </row>
    <row r="29" spans="1:1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14"/>
      <c r="M29" s="14"/>
    </row>
    <row r="30" spans="1:14" ht="12.75">
      <c r="A30" s="15" t="s">
        <v>237</v>
      </c>
      <c r="B30" s="155">
        <f>('BD Aggreg'!F43/B4)*100/B28</f>
        <v>1</v>
      </c>
      <c r="C30" s="155">
        <f>('BD Aggreg'!G43/C4)*100/C28</f>
        <v>1</v>
      </c>
      <c r="D30" s="155">
        <f>('BD Aggreg'!H43/D4)*100/D28</f>
        <v>0.9999999999999999</v>
      </c>
      <c r="E30" s="155">
        <f>('BD Aggreg'!I43/E4)*100/E28</f>
        <v>0.9999999999999999</v>
      </c>
      <c r="F30" s="155">
        <f>('BD Aggreg'!J43/F4)*100/F28</f>
        <v>0.9999999999999999</v>
      </c>
      <c r="G30" s="155">
        <f>('BD Aggreg'!K43/G4)*100/G28</f>
        <v>1</v>
      </c>
      <c r="H30" s="155">
        <f>('BD Aggreg'!L43/H4)*100/H28</f>
        <v>0.9999999999999999</v>
      </c>
      <c r="I30" s="155">
        <f>('BD Aggreg'!M43/I4)*100/I28</f>
        <v>1.0000000000000002</v>
      </c>
      <c r="J30" s="155">
        <f>('BD Aggreg'!N43/J4)*100/J28</f>
        <v>0.9999999999999998</v>
      </c>
      <c r="K30" s="155">
        <f>('BD Aggreg'!O43/K4)*100/K28</f>
        <v>1</v>
      </c>
      <c r="L30" s="155">
        <f>('BD Aggreg'!P43/L4)*100/L28</f>
        <v>0.9999999999999998</v>
      </c>
      <c r="M30" s="155">
        <f>('BD Aggreg'!Q43/M4)*100/M28</f>
        <v>1</v>
      </c>
      <c r="N30" s="155">
        <f>('BD Aggreg'!R43/N4)*100/N28</f>
        <v>0.9999999999999998</v>
      </c>
    </row>
    <row r="31" spans="1:13" ht="12.75">
      <c r="A31" s="3"/>
      <c r="B31" s="154"/>
      <c r="C31" s="103"/>
      <c r="D31" s="103"/>
      <c r="E31" s="103"/>
      <c r="F31" s="103"/>
      <c r="G31" s="103"/>
      <c r="H31" s="103"/>
      <c r="I31" s="103"/>
      <c r="J31" s="103"/>
      <c r="K31" s="103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14"/>
      <c r="M34" s="14"/>
    </row>
    <row r="35" spans="1:13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14"/>
      <c r="M35" s="14"/>
    </row>
    <row r="36" spans="1:13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14"/>
      <c r="M38" s="14"/>
    </row>
    <row r="39" spans="2:11" ht="12.75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</sheetData>
  <sheetProtection/>
  <conditionalFormatting sqref="B30:N30">
    <cfRule type="cellIs" priority="1" dxfId="0" operator="notEqual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S22"/>
  <sheetViews>
    <sheetView zoomScale="90" zoomScaleNormal="90" zoomScalePageLayoutView="0" workbookViewId="0" topLeftCell="A1">
      <selection activeCell="R9" sqref="R9:R18"/>
    </sheetView>
  </sheetViews>
  <sheetFormatPr defaultColWidth="9.140625" defaultRowHeight="12.75"/>
  <cols>
    <col min="1" max="1" width="26.140625" style="9" customWidth="1"/>
    <col min="2" max="16384" width="9.140625" style="9" customWidth="1"/>
  </cols>
  <sheetData>
    <row r="1" ht="15.75">
      <c r="A1" s="46" t="s">
        <v>197</v>
      </c>
    </row>
    <row r="2" ht="12.75"/>
    <row r="3" s="12" customFormat="1" ht="12.75"/>
    <row r="4" spans="1:19" ht="12.75">
      <c r="A4" s="115" t="s">
        <v>132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80"/>
      <c r="P4" s="80"/>
      <c r="Q4" s="62"/>
      <c r="R4" s="62"/>
      <c r="S4" s="62"/>
    </row>
    <row r="5" spans="1:19" s="12" customFormat="1" ht="12.75">
      <c r="A5" s="109" t="s">
        <v>138</v>
      </c>
      <c r="B5" s="77">
        <v>1992</v>
      </c>
      <c r="C5" s="77">
        <v>1993</v>
      </c>
      <c r="D5" s="77">
        <v>1994</v>
      </c>
      <c r="E5" s="77">
        <v>1995</v>
      </c>
      <c r="F5" s="77">
        <v>1996</v>
      </c>
      <c r="G5" s="77">
        <v>1997</v>
      </c>
      <c r="H5" s="77">
        <v>1998</v>
      </c>
      <c r="I5" s="77">
        <v>1999</v>
      </c>
      <c r="J5" s="77">
        <v>2000</v>
      </c>
      <c r="K5" s="77">
        <v>2001</v>
      </c>
      <c r="L5" s="77">
        <v>2002</v>
      </c>
      <c r="M5" s="77">
        <v>2003</v>
      </c>
      <c r="N5" s="77">
        <v>2004</v>
      </c>
      <c r="O5" s="77">
        <v>2005</v>
      </c>
      <c r="P5" s="77">
        <v>2006</v>
      </c>
      <c r="Q5" s="77">
        <v>2007</v>
      </c>
      <c r="R5" s="64"/>
      <c r="S5" s="64"/>
    </row>
    <row r="6" spans="1:19" ht="12.75">
      <c r="A6" s="85" t="s">
        <v>198</v>
      </c>
      <c r="B6" s="78">
        <f>BD_Road!E34</f>
        <v>407.5283603462062</v>
      </c>
      <c r="C6" s="78">
        <f>BD_Road!F34</f>
        <v>438.5985675139927</v>
      </c>
      <c r="D6" s="78">
        <f>BD_Road!G34</f>
        <v>550.9628405531936</v>
      </c>
      <c r="E6" s="78">
        <f>BD_Road!H34</f>
        <v>492.7119186237602</v>
      </c>
      <c r="F6" s="78">
        <f>BD_Road!I34</f>
        <v>547.8779448924936</v>
      </c>
      <c r="G6" s="78">
        <f>BD_Road!J34</f>
        <v>1047.0185909599181</v>
      </c>
      <c r="H6" s="78">
        <f>BD_Road!K34</f>
        <v>1067.5259022580058</v>
      </c>
      <c r="I6" s="78">
        <f>BD_Road!L34</f>
        <v>881.9598310520088</v>
      </c>
      <c r="J6" s="78">
        <f>BD_Road!M34</f>
        <v>840.0180642754979</v>
      </c>
      <c r="K6" s="78">
        <f>BD_Road!N34</f>
        <v>828.5451072310489</v>
      </c>
      <c r="L6" s="78">
        <f>BD_Road!O34</f>
        <v>1215.6099605161</v>
      </c>
      <c r="M6" s="78">
        <f>BD_Road!P34</f>
        <v>1268.171231703336</v>
      </c>
      <c r="N6" s="78">
        <f>BD_Road!Q34</f>
        <v>2892.68437597302</v>
      </c>
      <c r="O6" s="78">
        <f>BD_Road!R34</f>
        <v>3750.797101286486</v>
      </c>
      <c r="P6" s="78">
        <f>BD_Road!S34</f>
        <v>2792.272228794272</v>
      </c>
      <c r="Q6" s="78">
        <f>BD_Road!T34</f>
        <v>2929.8162964405637</v>
      </c>
      <c r="R6" s="62"/>
      <c r="S6" s="62"/>
    </row>
    <row r="7" spans="1:19" ht="12.75">
      <c r="A7" s="5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80"/>
      <c r="P7" s="80"/>
      <c r="Q7" s="62"/>
      <c r="R7" s="62"/>
      <c r="S7" s="62"/>
    </row>
    <row r="8" spans="1:19" ht="12.75">
      <c r="A8" s="113" t="s">
        <v>61</v>
      </c>
      <c r="B8" s="77">
        <v>1992</v>
      </c>
      <c r="C8" s="77">
        <v>1993</v>
      </c>
      <c r="D8" s="77">
        <v>1994</v>
      </c>
      <c r="E8" s="77">
        <v>1995</v>
      </c>
      <c r="F8" s="77">
        <v>1996</v>
      </c>
      <c r="G8" s="77">
        <v>1997</v>
      </c>
      <c r="H8" s="77">
        <v>1998</v>
      </c>
      <c r="I8" s="77">
        <v>1999</v>
      </c>
      <c r="J8" s="77">
        <v>2000</v>
      </c>
      <c r="K8" s="77">
        <v>2001</v>
      </c>
      <c r="L8" s="77">
        <v>2002</v>
      </c>
      <c r="M8" s="77">
        <v>2003</v>
      </c>
      <c r="N8" s="77">
        <v>2004</v>
      </c>
      <c r="O8" s="77">
        <v>2005</v>
      </c>
      <c r="P8" s="77">
        <v>2006</v>
      </c>
      <c r="Q8" s="77">
        <v>2007</v>
      </c>
      <c r="R8" s="62"/>
      <c r="S8" s="62"/>
    </row>
    <row r="9" spans="1:19" ht="12.75">
      <c r="A9" s="87" t="s">
        <v>36</v>
      </c>
      <c r="B9" s="93">
        <f>100*(B6/$E$6)</f>
        <v>82.711285224135</v>
      </c>
      <c r="C9" s="93">
        <f>100*(C6/$E$6)</f>
        <v>89.01724332934414</v>
      </c>
      <c r="D9" s="93">
        <f aca="true" t="shared" si="0" ref="D9:Q9">100*(D6/$E$6)</f>
        <v>111.82251123377318</v>
      </c>
      <c r="E9" s="93">
        <f t="shared" si="0"/>
        <v>100</v>
      </c>
      <c r="F9" s="93">
        <f t="shared" si="0"/>
        <v>111.19640588821613</v>
      </c>
      <c r="G9" s="93">
        <f>100*(G6/$E$6)</f>
        <v>212.50116982849607</v>
      </c>
      <c r="H9" s="93">
        <f t="shared" si="0"/>
        <v>216.66329997451905</v>
      </c>
      <c r="I9" s="93">
        <f t="shared" si="0"/>
        <v>179.00111560432583</v>
      </c>
      <c r="J9" s="93">
        <f t="shared" si="0"/>
        <v>170.4886836555184</v>
      </c>
      <c r="K9" s="93">
        <f t="shared" si="0"/>
        <v>168.16015117826575</v>
      </c>
      <c r="L9" s="93">
        <f t="shared" si="0"/>
        <v>246.71819669220386</v>
      </c>
      <c r="M9" s="93">
        <f t="shared" si="0"/>
        <v>257.38594577650645</v>
      </c>
      <c r="N9" s="93">
        <f t="shared" si="0"/>
        <v>587.0944595886472</v>
      </c>
      <c r="O9" s="114">
        <f t="shared" si="0"/>
        <v>761.2556058646173</v>
      </c>
      <c r="P9" s="114">
        <f t="shared" si="0"/>
        <v>566.714975475655</v>
      </c>
      <c r="Q9" s="114">
        <f t="shared" si="0"/>
        <v>594.6306930475943</v>
      </c>
      <c r="R9" s="62" t="s">
        <v>269</v>
      </c>
      <c r="S9" s="62"/>
    </row>
    <row r="10" spans="1:19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/>
      <c r="P10" s="117"/>
      <c r="Q10" s="117"/>
      <c r="R10" s="62"/>
      <c r="S10" s="62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  <c r="P11" s="117"/>
      <c r="Q11" s="117"/>
      <c r="R11" s="62"/>
      <c r="S11" s="62"/>
    </row>
    <row r="12" spans="1:19" ht="12.75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0"/>
      <c r="P12" s="80"/>
      <c r="Q12" s="62"/>
      <c r="R12" s="62"/>
      <c r="S12" s="62"/>
    </row>
    <row r="13" spans="1:19" ht="12.75">
      <c r="A13" s="115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/>
      <c r="P13" s="80"/>
      <c r="Q13" s="62"/>
      <c r="R13" s="62"/>
      <c r="S13" s="62"/>
    </row>
    <row r="14" spans="1:19" s="12" customFormat="1" ht="12.75">
      <c r="A14" s="109" t="s">
        <v>62</v>
      </c>
      <c r="B14" s="77">
        <v>1992</v>
      </c>
      <c r="C14" s="77">
        <v>1993</v>
      </c>
      <c r="D14" s="77">
        <v>1994</v>
      </c>
      <c r="E14" s="77">
        <v>1995</v>
      </c>
      <c r="F14" s="77">
        <v>1996</v>
      </c>
      <c r="G14" s="77">
        <v>1997</v>
      </c>
      <c r="H14" s="77">
        <v>1998</v>
      </c>
      <c r="I14" s="77">
        <v>1999</v>
      </c>
      <c r="J14" s="77">
        <v>2000</v>
      </c>
      <c r="K14" s="77">
        <v>2001</v>
      </c>
      <c r="L14" s="77">
        <v>2002</v>
      </c>
      <c r="M14" s="77">
        <v>2003</v>
      </c>
      <c r="N14" s="77">
        <v>2004</v>
      </c>
      <c r="O14" s="77">
        <v>2005</v>
      </c>
      <c r="P14" s="77">
        <v>2006</v>
      </c>
      <c r="Q14" s="77">
        <v>2007</v>
      </c>
      <c r="R14" s="64"/>
      <c r="S14" s="64"/>
    </row>
    <row r="15" spans="1:19" ht="12.75">
      <c r="A15" s="85" t="s">
        <v>36</v>
      </c>
      <c r="B15" s="78">
        <f>BD_Road!E35</f>
        <v>34519.7525817787</v>
      </c>
      <c r="C15" s="78">
        <f>BD_Road!F35</f>
        <v>33160.878996764564</v>
      </c>
      <c r="D15" s="78">
        <f>BD_Road!G35</f>
        <v>33085.89857507111</v>
      </c>
      <c r="E15" s="78">
        <f>BD_Road!H35</f>
        <v>32048.532356503907</v>
      </c>
      <c r="F15" s="78">
        <f>BD_Road!I35</f>
        <v>32445.254894952588</v>
      </c>
      <c r="G15" s="78">
        <f>BD_Road!J35</f>
        <v>32459.83139961108</v>
      </c>
      <c r="H15" s="78">
        <f>BD_Road!K35</f>
        <v>32144.79068596794</v>
      </c>
      <c r="I15" s="78">
        <f>BD_Road!L35</f>
        <v>31896.763113185298</v>
      </c>
      <c r="J15" s="78">
        <f>BD_Road!M35</f>
        <v>35252.37072119361</v>
      </c>
      <c r="K15" s="78">
        <f>BD_Road!N35</f>
        <v>36650.241381392756</v>
      </c>
      <c r="L15" s="78">
        <f>BD_Road!O35</f>
        <v>37378.44366374654</v>
      </c>
      <c r="M15" s="78">
        <f>BD_Road!P35</f>
        <v>37061.82004277875</v>
      </c>
      <c r="N15" s="78">
        <f>BD_Road!Q35</f>
        <v>39140.95000771088</v>
      </c>
      <c r="O15" s="78">
        <f>BD_Road!R35</f>
        <v>40430.20097318375</v>
      </c>
      <c r="P15" s="78">
        <f>BD_Road!S35</f>
        <v>42302.22689560493</v>
      </c>
      <c r="Q15" s="78">
        <f>BD_Road!T35</f>
        <v>41724.147384949596</v>
      </c>
      <c r="R15" s="62"/>
      <c r="S15" s="62"/>
    </row>
    <row r="16" spans="1:19" ht="12.75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80"/>
      <c r="P16" s="80"/>
      <c r="Q16" s="62"/>
      <c r="R16" s="62"/>
      <c r="S16" s="62"/>
    </row>
    <row r="17" spans="1:19" ht="12.75">
      <c r="A17" s="113" t="s">
        <v>61</v>
      </c>
      <c r="B17" s="77">
        <v>1992</v>
      </c>
      <c r="C17" s="77">
        <v>1993</v>
      </c>
      <c r="D17" s="77">
        <v>1994</v>
      </c>
      <c r="E17" s="77">
        <v>1995</v>
      </c>
      <c r="F17" s="77">
        <v>1996</v>
      </c>
      <c r="G17" s="77">
        <v>1997</v>
      </c>
      <c r="H17" s="77">
        <v>1998</v>
      </c>
      <c r="I17" s="77">
        <v>1999</v>
      </c>
      <c r="J17" s="77">
        <v>2000</v>
      </c>
      <c r="K17" s="77">
        <v>2001</v>
      </c>
      <c r="L17" s="77">
        <v>2002</v>
      </c>
      <c r="M17" s="77">
        <v>2003</v>
      </c>
      <c r="N17" s="77">
        <v>2004</v>
      </c>
      <c r="O17" s="77">
        <v>2005</v>
      </c>
      <c r="P17" s="77">
        <v>2006</v>
      </c>
      <c r="Q17" s="77">
        <v>2007</v>
      </c>
      <c r="R17" s="62"/>
      <c r="S17" s="62"/>
    </row>
    <row r="18" spans="1:19" ht="12.75">
      <c r="A18" s="87" t="s">
        <v>36</v>
      </c>
      <c r="B18" s="93">
        <f>100*(B15/$E$15)</f>
        <v>107.71086862195514</v>
      </c>
      <c r="C18" s="93">
        <f aca="true" t="shared" si="1" ref="C18:Q18">100*(C15/$E$15)</f>
        <v>103.4708192808552</v>
      </c>
      <c r="D18" s="93">
        <f t="shared" si="1"/>
        <v>103.23686029371851</v>
      </c>
      <c r="E18" s="93">
        <f t="shared" si="1"/>
        <v>100</v>
      </c>
      <c r="F18" s="93">
        <f t="shared" si="1"/>
        <v>101.23788051832013</v>
      </c>
      <c r="G18" s="93">
        <f t="shared" si="1"/>
        <v>101.28336311482826</v>
      </c>
      <c r="H18" s="93">
        <f>100*(H15/$E$15)</f>
        <v>100.30035175524816</v>
      </c>
      <c r="I18" s="93">
        <f t="shared" si="1"/>
        <v>99.52643933385048</v>
      </c>
      <c r="J18" s="93">
        <f t="shared" si="1"/>
        <v>109.99683333093262</v>
      </c>
      <c r="K18" s="93">
        <f t="shared" si="1"/>
        <v>114.35856398570769</v>
      </c>
      <c r="L18" s="93">
        <f t="shared" si="1"/>
        <v>116.63075003857699</v>
      </c>
      <c r="M18" s="93">
        <f t="shared" si="1"/>
        <v>115.64279958441671</v>
      </c>
      <c r="N18" s="93">
        <f t="shared" si="1"/>
        <v>122.13024163575355</v>
      </c>
      <c r="O18" s="114">
        <f t="shared" si="1"/>
        <v>126.15304976665765</v>
      </c>
      <c r="P18" s="114">
        <f t="shared" si="1"/>
        <v>131.99427176583376</v>
      </c>
      <c r="Q18" s="114">
        <f t="shared" si="1"/>
        <v>130.19050894691634</v>
      </c>
      <c r="R18" s="62" t="s">
        <v>268</v>
      </c>
      <c r="S18" s="62"/>
    </row>
    <row r="19" spans="1:19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.75">
      <c r="A21" s="48"/>
      <c r="B21" s="12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62"/>
      <c r="P21" s="62"/>
      <c r="Q21" s="62"/>
      <c r="R21" s="62"/>
      <c r="S21" s="62"/>
    </row>
    <row r="22" spans="1:19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R36"/>
  <sheetViews>
    <sheetView zoomScale="90" zoomScaleNormal="90" zoomScalePageLayoutView="0" workbookViewId="0" topLeftCell="A1">
      <selection activeCell="R9" sqref="R9:R18"/>
    </sheetView>
  </sheetViews>
  <sheetFormatPr defaultColWidth="9.140625" defaultRowHeight="12.75"/>
  <cols>
    <col min="1" max="1" width="24.28125" style="9" customWidth="1"/>
    <col min="2" max="16384" width="9.140625" style="9" customWidth="1"/>
  </cols>
  <sheetData>
    <row r="1" ht="15.75">
      <c r="A1" s="46" t="s">
        <v>199</v>
      </c>
    </row>
    <row r="3" s="12" customFormat="1" ht="12.75"/>
    <row r="4" spans="1:17" ht="12.75">
      <c r="A4" s="115" t="s">
        <v>132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80"/>
      <c r="P4" s="80"/>
      <c r="Q4" s="62"/>
    </row>
    <row r="5" spans="1:17" s="12" customFormat="1" ht="12.75">
      <c r="A5" s="109" t="s">
        <v>138</v>
      </c>
      <c r="B5" s="77">
        <v>1992</v>
      </c>
      <c r="C5" s="77">
        <v>1993</v>
      </c>
      <c r="D5" s="77">
        <v>1994</v>
      </c>
      <c r="E5" s="77">
        <v>1995</v>
      </c>
      <c r="F5" s="77">
        <v>1996</v>
      </c>
      <c r="G5" s="77">
        <v>1997</v>
      </c>
      <c r="H5" s="77">
        <v>1998</v>
      </c>
      <c r="I5" s="77">
        <v>1999</v>
      </c>
      <c r="J5" s="77">
        <v>2000</v>
      </c>
      <c r="K5" s="77">
        <v>2001</v>
      </c>
      <c r="L5" s="77">
        <v>2002</v>
      </c>
      <c r="M5" s="77">
        <v>2003</v>
      </c>
      <c r="N5" s="77">
        <v>2004</v>
      </c>
      <c r="O5" s="77">
        <v>2005</v>
      </c>
      <c r="P5" s="77">
        <v>2006</v>
      </c>
      <c r="Q5" s="77">
        <v>2007</v>
      </c>
    </row>
    <row r="6" spans="1:17" ht="12.75">
      <c r="A6" s="85" t="s">
        <v>200</v>
      </c>
      <c r="B6" s="78">
        <f>BD_Rail!E34</f>
        <v>140.40611817240494</v>
      </c>
      <c r="C6" s="78">
        <f>BD_Rail!F34</f>
        <v>149.23299801592955</v>
      </c>
      <c r="D6" s="78">
        <f>BD_Rail!G34</f>
        <v>201.53165738787817</v>
      </c>
      <c r="E6" s="78">
        <f>BD_Rail!H34</f>
        <v>265.9973015414336</v>
      </c>
      <c r="F6" s="78">
        <f>BD_Rail!I34</f>
        <v>389.4872316879917</v>
      </c>
      <c r="G6" s="78">
        <f>BD_Rail!J34</f>
        <v>504.3526414601681</v>
      </c>
      <c r="H6" s="78">
        <f>BD_Rail!K34</f>
        <v>545.5020132033075</v>
      </c>
      <c r="I6" s="78">
        <f>BD_Rail!L34</f>
        <v>538.9568348860519</v>
      </c>
      <c r="J6" s="78">
        <f>BD_Rail!M34</f>
        <v>658.5029539881501</v>
      </c>
      <c r="K6" s="78">
        <f>BD_Rail!N34</f>
        <v>830.6871485802687</v>
      </c>
      <c r="L6" s="78">
        <f>BD_Rail!O34</f>
        <v>1067.6691333931794</v>
      </c>
      <c r="M6" s="78">
        <f>BD_Rail!P34</f>
        <v>887.5505953219688</v>
      </c>
      <c r="N6" s="78">
        <f>BD_Rail!Q34</f>
        <v>749.477724031324</v>
      </c>
      <c r="O6" s="78">
        <f>BD_Rail!R34</f>
        <v>903.781507272337</v>
      </c>
      <c r="P6" s="78">
        <f>BD_Rail!S34</f>
        <v>854.1438399302749</v>
      </c>
      <c r="Q6" s="78">
        <f>BD_Rail!T34</f>
        <v>1378.9269198466245</v>
      </c>
    </row>
    <row r="7" spans="1:17" ht="12.75">
      <c r="A7" s="5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80"/>
      <c r="P7" s="80"/>
      <c r="Q7" s="62"/>
    </row>
    <row r="8" spans="1:17" ht="12.75">
      <c r="A8" s="113" t="s">
        <v>61</v>
      </c>
      <c r="B8" s="77">
        <v>1992</v>
      </c>
      <c r="C8" s="77">
        <v>1993</v>
      </c>
      <c r="D8" s="77">
        <v>1994</v>
      </c>
      <c r="E8" s="77">
        <v>1995</v>
      </c>
      <c r="F8" s="77">
        <v>1996</v>
      </c>
      <c r="G8" s="77">
        <v>1997</v>
      </c>
      <c r="H8" s="77">
        <v>1998</v>
      </c>
      <c r="I8" s="77">
        <v>1999</v>
      </c>
      <c r="J8" s="77">
        <v>2000</v>
      </c>
      <c r="K8" s="77">
        <v>2001</v>
      </c>
      <c r="L8" s="77">
        <v>2002</v>
      </c>
      <c r="M8" s="77">
        <v>2003</v>
      </c>
      <c r="N8" s="77">
        <v>2004</v>
      </c>
      <c r="O8" s="77">
        <v>2005</v>
      </c>
      <c r="P8" s="77">
        <v>2006</v>
      </c>
      <c r="Q8" s="77">
        <v>2007</v>
      </c>
    </row>
    <row r="9" spans="1:18" ht="12.75">
      <c r="A9" s="118" t="s">
        <v>37</v>
      </c>
      <c r="B9" s="93">
        <f aca="true" t="shared" si="0" ref="B9:Q9">100*B6/$E$6</f>
        <v>52.784790431618084</v>
      </c>
      <c r="C9" s="93">
        <f t="shared" si="0"/>
        <v>56.10319997651704</v>
      </c>
      <c r="D9" s="93">
        <f t="shared" si="0"/>
        <v>75.7645495725024</v>
      </c>
      <c r="E9" s="93">
        <f t="shared" si="0"/>
        <v>100</v>
      </c>
      <c r="F9" s="93">
        <f t="shared" si="0"/>
        <v>146.4252567341637</v>
      </c>
      <c r="G9" s="93">
        <f t="shared" si="0"/>
        <v>189.60817968358472</v>
      </c>
      <c r="H9" s="93">
        <f t="shared" si="0"/>
        <v>205.07802524392758</v>
      </c>
      <c r="I9" s="93">
        <f t="shared" si="0"/>
        <v>202.6174069296339</v>
      </c>
      <c r="J9" s="93">
        <f t="shared" si="0"/>
        <v>247.56001289192668</v>
      </c>
      <c r="K9" s="93">
        <f t="shared" si="0"/>
        <v>312.2915697890548</v>
      </c>
      <c r="L9" s="93">
        <f t="shared" si="0"/>
        <v>401.3834453229864</v>
      </c>
      <c r="M9" s="93">
        <f t="shared" si="0"/>
        <v>333.6690222715352</v>
      </c>
      <c r="N9" s="93">
        <f t="shared" si="0"/>
        <v>281.7614012202977</v>
      </c>
      <c r="O9" s="93">
        <f t="shared" si="0"/>
        <v>339.7709307707235</v>
      </c>
      <c r="P9" s="93">
        <f t="shared" si="0"/>
        <v>321.10996426677184</v>
      </c>
      <c r="Q9" s="93">
        <f t="shared" si="0"/>
        <v>518.3988378287488</v>
      </c>
      <c r="R9" s="62" t="s">
        <v>269</v>
      </c>
    </row>
    <row r="10" spans="1:18" ht="12.75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0"/>
      <c r="P10" s="80"/>
      <c r="Q10" s="62"/>
      <c r="R10" s="62"/>
    </row>
    <row r="11" spans="1:18" ht="12.75">
      <c r="A11" s="5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0"/>
      <c r="P11" s="80"/>
      <c r="Q11" s="62"/>
      <c r="R11" s="62"/>
    </row>
    <row r="12" spans="1:18" ht="12.75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0"/>
      <c r="P12" s="80"/>
      <c r="Q12" s="62"/>
      <c r="R12" s="62"/>
    </row>
    <row r="13" spans="1:18" ht="12.75">
      <c r="A13" s="115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/>
      <c r="P13" s="80"/>
      <c r="Q13" s="62"/>
      <c r="R13" s="62"/>
    </row>
    <row r="14" spans="1:18" s="12" customFormat="1" ht="12.75">
      <c r="A14" s="109" t="s">
        <v>62</v>
      </c>
      <c r="B14" s="77">
        <v>1992</v>
      </c>
      <c r="C14" s="77">
        <v>1993</v>
      </c>
      <c r="D14" s="77">
        <v>1994</v>
      </c>
      <c r="E14" s="77">
        <v>1995</v>
      </c>
      <c r="F14" s="77">
        <v>1996</v>
      </c>
      <c r="G14" s="77">
        <v>1997</v>
      </c>
      <c r="H14" s="77">
        <v>1998</v>
      </c>
      <c r="I14" s="77">
        <v>1999</v>
      </c>
      <c r="J14" s="77">
        <v>2000</v>
      </c>
      <c r="K14" s="77">
        <v>2001</v>
      </c>
      <c r="L14" s="77">
        <v>2002</v>
      </c>
      <c r="M14" s="77">
        <v>2003</v>
      </c>
      <c r="N14" s="77">
        <v>2004</v>
      </c>
      <c r="O14" s="77">
        <v>2005</v>
      </c>
      <c r="P14" s="77">
        <v>2006</v>
      </c>
      <c r="Q14" s="77">
        <v>2007</v>
      </c>
      <c r="R14" s="64"/>
    </row>
    <row r="15" spans="1:18" ht="12.75">
      <c r="A15" s="85" t="s">
        <v>200</v>
      </c>
      <c r="B15" s="78">
        <f>BD_Rail!E35</f>
        <v>14073.172215701903</v>
      </c>
      <c r="C15" s="78">
        <f>BD_Rail!F35</f>
        <v>13306.89682420775</v>
      </c>
      <c r="D15" s="78">
        <f>BD_Rail!G35</f>
        <v>13476.216789960286</v>
      </c>
      <c r="E15" s="78">
        <f>BD_Rail!H35</f>
        <v>13243.95454835411</v>
      </c>
      <c r="F15" s="78">
        <f>BD_Rail!I35</f>
        <v>13617.301645263926</v>
      </c>
      <c r="G15" s="78">
        <f>BD_Rail!J35</f>
        <v>14010.989366972544</v>
      </c>
      <c r="H15" s="78">
        <f>BD_Rail!K35</f>
        <v>14205.128784313074</v>
      </c>
      <c r="I15" s="78">
        <f>BD_Rail!L35</f>
        <v>18704.07297736849</v>
      </c>
      <c r="J15" s="78">
        <f>BD_Rail!M35</f>
        <v>16153.644696822801</v>
      </c>
      <c r="K15" s="78">
        <f>BD_Rail!N35</f>
        <v>17055.384212782854</v>
      </c>
      <c r="L15" s="78">
        <f>BD_Rail!O35</f>
        <v>20827.506590273228</v>
      </c>
      <c r="M15" s="78">
        <f>BD_Rail!P35</f>
        <v>22451.170123719836</v>
      </c>
      <c r="N15" s="78">
        <f>BD_Rail!Q35</f>
        <v>20767.762164500746</v>
      </c>
      <c r="O15" s="78">
        <f>BD_Rail!R35</f>
        <v>19112.088119290092</v>
      </c>
      <c r="P15" s="78">
        <f>BD_Rail!S35</f>
        <v>20911.573702898924</v>
      </c>
      <c r="Q15" s="78">
        <f>BD_Rail!T35</f>
        <v>21882.57547163353</v>
      </c>
      <c r="R15" s="62"/>
    </row>
    <row r="16" spans="1:18" ht="12" customHeight="1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80"/>
      <c r="P16" s="80"/>
      <c r="Q16" s="62"/>
      <c r="R16" s="62"/>
    </row>
    <row r="17" spans="1:18" ht="12.75">
      <c r="A17" s="113" t="s">
        <v>61</v>
      </c>
      <c r="B17" s="77">
        <v>1992</v>
      </c>
      <c r="C17" s="77">
        <v>1993</v>
      </c>
      <c r="D17" s="77">
        <v>1994</v>
      </c>
      <c r="E17" s="77">
        <v>1995</v>
      </c>
      <c r="F17" s="77">
        <v>1996</v>
      </c>
      <c r="G17" s="77">
        <v>1997</v>
      </c>
      <c r="H17" s="77">
        <v>1998</v>
      </c>
      <c r="I17" s="77">
        <v>1999</v>
      </c>
      <c r="J17" s="77">
        <v>2000</v>
      </c>
      <c r="K17" s="77">
        <v>2001</v>
      </c>
      <c r="L17" s="77">
        <v>2002</v>
      </c>
      <c r="M17" s="77">
        <v>2003</v>
      </c>
      <c r="N17" s="77">
        <v>2004</v>
      </c>
      <c r="O17" s="77">
        <v>2005</v>
      </c>
      <c r="P17" s="77">
        <v>2006</v>
      </c>
      <c r="Q17" s="77">
        <v>2007</v>
      </c>
      <c r="R17" s="62"/>
    </row>
    <row r="18" spans="1:18" ht="12.75">
      <c r="A18" s="118" t="s">
        <v>37</v>
      </c>
      <c r="B18" s="93">
        <f aca="true" t="shared" si="1" ref="B18:Q18">100*B15/$E$15</f>
        <v>106.26110324012585</v>
      </c>
      <c r="C18" s="93">
        <f t="shared" si="1"/>
        <v>100.47525288329733</v>
      </c>
      <c r="D18" s="93">
        <f t="shared" si="1"/>
        <v>101.75372273257341</v>
      </c>
      <c r="E18" s="93">
        <f t="shared" si="1"/>
        <v>100</v>
      </c>
      <c r="F18" s="93">
        <f t="shared" si="1"/>
        <v>102.81900013735861</v>
      </c>
      <c r="G18" s="93">
        <f t="shared" si="1"/>
        <v>105.79158449855717</v>
      </c>
      <c r="H18" s="93">
        <f t="shared" si="1"/>
        <v>107.25745646777695</v>
      </c>
      <c r="I18" s="93">
        <f t="shared" si="1"/>
        <v>141.2272513400685</v>
      </c>
      <c r="J18" s="93">
        <f t="shared" si="1"/>
        <v>121.96994966907594</v>
      </c>
      <c r="K18" s="93">
        <f t="shared" si="1"/>
        <v>128.7786374569098</v>
      </c>
      <c r="L18" s="93">
        <f t="shared" si="1"/>
        <v>157.26048072900977</v>
      </c>
      <c r="M18" s="93">
        <f t="shared" si="1"/>
        <v>169.52013873008912</v>
      </c>
      <c r="N18" s="93">
        <f t="shared" si="1"/>
        <v>156.80937358005096</v>
      </c>
      <c r="O18" s="93">
        <f t="shared" si="1"/>
        <v>144.30801653321322</v>
      </c>
      <c r="P18" s="93">
        <f t="shared" si="1"/>
        <v>157.8952391187246</v>
      </c>
      <c r="Q18" s="93">
        <f t="shared" si="1"/>
        <v>165.2268995015011</v>
      </c>
      <c r="R18" s="62" t="s">
        <v>268</v>
      </c>
    </row>
    <row r="19" spans="1:16" ht="12.7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  <c r="P19" s="12"/>
    </row>
    <row r="27" ht="12.75">
      <c r="A27" s="56"/>
    </row>
    <row r="30" ht="12.75">
      <c r="A30" s="116"/>
    </row>
    <row r="31" ht="12.75">
      <c r="A31" s="116"/>
    </row>
    <row r="32" ht="12.75">
      <c r="A32" s="56"/>
    </row>
    <row r="36" ht="12.75">
      <c r="A36" s="5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R18"/>
  <sheetViews>
    <sheetView zoomScale="90" zoomScaleNormal="90" zoomScalePageLayoutView="0" workbookViewId="0" topLeftCell="A1">
      <selection activeCell="P25" sqref="P25"/>
    </sheetView>
  </sheetViews>
  <sheetFormatPr defaultColWidth="9.140625" defaultRowHeight="12.75"/>
  <cols>
    <col min="1" max="1" width="28.28125" style="9" customWidth="1"/>
    <col min="2" max="16384" width="9.140625" style="9" customWidth="1"/>
  </cols>
  <sheetData>
    <row r="1" ht="15.75">
      <c r="A1" s="46" t="s">
        <v>201</v>
      </c>
    </row>
    <row r="2" ht="15.75">
      <c r="A2" s="46"/>
    </row>
    <row r="4" spans="1:17" ht="12.75">
      <c r="A4" s="115" t="s">
        <v>132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80"/>
      <c r="P4" s="80"/>
      <c r="Q4" s="62"/>
    </row>
    <row r="5" spans="1:17" s="12" customFormat="1" ht="12.75">
      <c r="A5" s="109" t="s">
        <v>138</v>
      </c>
      <c r="B5" s="77">
        <v>1992</v>
      </c>
      <c r="C5" s="77">
        <v>1993</v>
      </c>
      <c r="D5" s="77">
        <v>1994</v>
      </c>
      <c r="E5" s="77">
        <v>1995</v>
      </c>
      <c r="F5" s="77">
        <v>1996</v>
      </c>
      <c r="G5" s="77">
        <v>1997</v>
      </c>
      <c r="H5" s="77">
        <v>1998</v>
      </c>
      <c r="I5" s="77">
        <v>1999</v>
      </c>
      <c r="J5" s="77">
        <v>2000</v>
      </c>
      <c r="K5" s="77">
        <v>2001</v>
      </c>
      <c r="L5" s="77">
        <v>2002</v>
      </c>
      <c r="M5" s="77">
        <v>2003</v>
      </c>
      <c r="N5" s="77">
        <v>2004</v>
      </c>
      <c r="O5" s="77">
        <v>2005</v>
      </c>
      <c r="P5" s="77">
        <v>2006</v>
      </c>
      <c r="Q5" s="77">
        <v>2007</v>
      </c>
    </row>
    <row r="6" spans="1:17" ht="12.75">
      <c r="A6" s="85" t="s">
        <v>205</v>
      </c>
      <c r="B6" s="78">
        <f>+BD_IWW!E34</f>
        <v>39.852415687288165</v>
      </c>
      <c r="C6" s="78">
        <f>+BD_IWW!F34</f>
        <v>114.82899157892035</v>
      </c>
      <c r="D6" s="78">
        <f>+BD_IWW!G34</f>
        <v>92.46814319935581</v>
      </c>
      <c r="E6" s="78">
        <f>+BD_IWW!H34</f>
        <v>24.29499216896876</v>
      </c>
      <c r="F6" s="78">
        <f>+BD_IWW!I34</f>
        <v>20.212760602696513</v>
      </c>
      <c r="G6" s="78">
        <f>+BD_IWW!J34</f>
        <v>21.775909598009605</v>
      </c>
      <c r="H6" s="78">
        <f>+BD_IWW!K34</f>
        <v>15.727493730392997</v>
      </c>
      <c r="I6" s="78">
        <f>+BD_IWW!L34</f>
        <v>7.052120518622055</v>
      </c>
      <c r="J6" s="78">
        <f>+BD_IWW!M34</f>
        <v>12.95274138400322</v>
      </c>
      <c r="K6" s="78">
        <f>+BD_IWW!N34</f>
        <v>16.970432661013586</v>
      </c>
      <c r="L6" s="78">
        <f>+BD_IWW!O34</f>
        <v>23.376459960699012</v>
      </c>
      <c r="M6" s="78">
        <f>+BD_IWW!P34</f>
        <v>19.913203598272382</v>
      </c>
      <c r="N6" s="78">
        <f>+BD_IWW!Q34</f>
        <v>13.5200371613842</v>
      </c>
      <c r="O6" s="78">
        <f>+BD_IWW!R34</f>
        <v>12.969696908427272</v>
      </c>
      <c r="P6" s="78">
        <f>+BD_IWW!S34</f>
        <v>25.465966065811877</v>
      </c>
      <c r="Q6" s="78">
        <f>+BD_IWW!T34</f>
        <v>22.03570346713058</v>
      </c>
    </row>
    <row r="7" spans="1:17" ht="12.75">
      <c r="A7" s="5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80"/>
      <c r="P7" s="80"/>
      <c r="Q7" s="62"/>
    </row>
    <row r="8" spans="1:17" ht="12.75">
      <c r="A8" s="113" t="s">
        <v>61</v>
      </c>
      <c r="B8" s="77">
        <v>1992</v>
      </c>
      <c r="C8" s="77">
        <v>1993</v>
      </c>
      <c r="D8" s="77">
        <v>1994</v>
      </c>
      <c r="E8" s="77">
        <v>1995</v>
      </c>
      <c r="F8" s="77">
        <v>1996</v>
      </c>
      <c r="G8" s="77">
        <v>1997</v>
      </c>
      <c r="H8" s="77">
        <v>1998</v>
      </c>
      <c r="I8" s="77">
        <v>1999</v>
      </c>
      <c r="J8" s="77">
        <v>2000</v>
      </c>
      <c r="K8" s="77">
        <v>2001</v>
      </c>
      <c r="L8" s="77">
        <v>2002</v>
      </c>
      <c r="M8" s="77">
        <v>2003</v>
      </c>
      <c r="N8" s="77">
        <v>2004</v>
      </c>
      <c r="O8" s="77">
        <v>2005</v>
      </c>
      <c r="P8" s="77">
        <v>2006</v>
      </c>
      <c r="Q8" s="77">
        <v>2007</v>
      </c>
    </row>
    <row r="9" spans="1:18" ht="12.75">
      <c r="A9" s="118" t="s">
        <v>35</v>
      </c>
      <c r="B9" s="93">
        <f>100*B6/$E$6</f>
        <v>164.035515673845</v>
      </c>
      <c r="C9" s="93">
        <f>100*C6/$E$6</f>
        <v>472.6446947597203</v>
      </c>
      <c r="D9" s="93">
        <f>100*D6/$E$6</f>
        <v>380.6057748701911</v>
      </c>
      <c r="E9" s="93">
        <f>100*E6/$E$6</f>
        <v>100</v>
      </c>
      <c r="F9" s="93">
        <f aca="true" t="shared" si="0" ref="F9:Q9">100*F6/$E$6</f>
        <v>83.19723036796712</v>
      </c>
      <c r="G9" s="93">
        <f t="shared" si="0"/>
        <v>89.63126823240262</v>
      </c>
      <c r="H9" s="93">
        <f t="shared" si="0"/>
        <v>64.73553735276045</v>
      </c>
      <c r="I9" s="93">
        <f t="shared" si="0"/>
        <v>29.027054092363567</v>
      </c>
      <c r="J9" s="93">
        <f t="shared" si="0"/>
        <v>53.31444971835535</v>
      </c>
      <c r="K9" s="93">
        <f t="shared" si="0"/>
        <v>69.85156670554268</v>
      </c>
      <c r="L9" s="93">
        <f t="shared" si="0"/>
        <v>96.21925291483336</v>
      </c>
      <c r="M9" s="93">
        <f t="shared" si="0"/>
        <v>81.96423139294895</v>
      </c>
      <c r="N9" s="93">
        <f t="shared" si="0"/>
        <v>55.64948145426004</v>
      </c>
      <c r="O9" s="93">
        <f t="shared" si="0"/>
        <v>53.38423992164551</v>
      </c>
      <c r="P9" s="93">
        <f t="shared" si="0"/>
        <v>104.81981590567773</v>
      </c>
      <c r="Q9" s="93">
        <f t="shared" si="0"/>
        <v>90.70059917646773</v>
      </c>
      <c r="R9" s="62" t="s">
        <v>269</v>
      </c>
    </row>
    <row r="10" spans="1:18" ht="12.75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0"/>
      <c r="P10" s="80"/>
      <c r="Q10" s="62"/>
      <c r="R10" s="62"/>
    </row>
    <row r="11" spans="1:18" ht="12.75">
      <c r="A11" s="5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0"/>
      <c r="P11" s="80"/>
      <c r="Q11" s="62"/>
      <c r="R11" s="62"/>
    </row>
    <row r="12" spans="1:18" ht="12.75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0"/>
      <c r="P12" s="80"/>
      <c r="Q12" s="62"/>
      <c r="R12" s="62"/>
    </row>
    <row r="13" spans="1:18" ht="12.75">
      <c r="A13" s="115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/>
      <c r="P13" s="80"/>
      <c r="Q13" s="62"/>
      <c r="R13" s="62"/>
    </row>
    <row r="14" spans="1:18" s="12" customFormat="1" ht="12.75">
      <c r="A14" s="109" t="s">
        <v>62</v>
      </c>
      <c r="B14" s="77">
        <v>1992</v>
      </c>
      <c r="C14" s="77">
        <v>1993</v>
      </c>
      <c r="D14" s="77">
        <v>1994</v>
      </c>
      <c r="E14" s="77">
        <v>1995</v>
      </c>
      <c r="F14" s="77">
        <v>1996</v>
      </c>
      <c r="G14" s="77">
        <v>1997</v>
      </c>
      <c r="H14" s="77">
        <v>1998</v>
      </c>
      <c r="I14" s="77">
        <v>1999</v>
      </c>
      <c r="J14" s="77">
        <v>2000</v>
      </c>
      <c r="K14" s="77">
        <v>2001</v>
      </c>
      <c r="L14" s="77">
        <v>2002</v>
      </c>
      <c r="M14" s="77">
        <v>2003</v>
      </c>
      <c r="N14" s="77">
        <v>2004</v>
      </c>
      <c r="O14" s="77">
        <v>2005</v>
      </c>
      <c r="P14" s="77">
        <v>2006</v>
      </c>
      <c r="Q14" s="77">
        <v>2007</v>
      </c>
      <c r="R14" s="64"/>
    </row>
    <row r="15" spans="1:18" ht="12.75">
      <c r="A15" s="85" t="s">
        <v>205</v>
      </c>
      <c r="B15" s="78">
        <f>+BD_IWW!E35</f>
        <v>715.243625126626</v>
      </c>
      <c r="C15" s="78">
        <f>+BD_IWW!F35</f>
        <v>783.5711048600974</v>
      </c>
      <c r="D15" s="78">
        <f>+BD_IWW!G35</f>
        <v>809.3172895629615</v>
      </c>
      <c r="E15" s="78">
        <f>+BD_IWW!H35</f>
        <v>824.0239501217052</v>
      </c>
      <c r="F15" s="78">
        <f>+BD_IWW!I35</f>
        <v>823.202871636403</v>
      </c>
      <c r="G15" s="78">
        <f>+BD_IWW!J35</f>
        <v>820.7489049007786</v>
      </c>
      <c r="H15" s="78">
        <f>+BD_IWW!K35</f>
        <v>914.4818066245195</v>
      </c>
      <c r="I15" s="78">
        <f>+BD_IWW!L35</f>
        <v>953.40319087989</v>
      </c>
      <c r="J15" s="78">
        <f>+BD_IWW!M35</f>
        <v>943.3229527499516</v>
      </c>
      <c r="K15" s="78">
        <f>+BD_IWW!N35</f>
        <v>962.582</v>
      </c>
      <c r="L15" s="78">
        <f>+BD_IWW!O35</f>
        <v>942.73</v>
      </c>
      <c r="M15" s="78">
        <f>+BD_IWW!P35</f>
        <v>966.379</v>
      </c>
      <c r="N15" s="78">
        <f>+BD_IWW!Q35</f>
        <v>921.732</v>
      </c>
      <c r="O15" s="78">
        <f>+BD_IWW!R35</f>
        <v>924.37</v>
      </c>
      <c r="P15" s="78">
        <f>+BD_IWW!S35</f>
        <v>983.054</v>
      </c>
      <c r="Q15" s="78">
        <f>+BD_IWW!T35</f>
        <v>999.548</v>
      </c>
      <c r="R15" s="62"/>
    </row>
    <row r="16" spans="1:18" ht="12" customHeight="1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80"/>
      <c r="P16" s="80"/>
      <c r="Q16" s="62"/>
      <c r="R16" s="62"/>
    </row>
    <row r="17" spans="1:18" ht="12.75">
      <c r="A17" s="113" t="s">
        <v>61</v>
      </c>
      <c r="B17" s="77">
        <v>1992</v>
      </c>
      <c r="C17" s="77">
        <v>1993</v>
      </c>
      <c r="D17" s="77">
        <v>1994</v>
      </c>
      <c r="E17" s="77">
        <v>1995</v>
      </c>
      <c r="F17" s="77">
        <v>1996</v>
      </c>
      <c r="G17" s="77">
        <v>1997</v>
      </c>
      <c r="H17" s="77">
        <v>1998</v>
      </c>
      <c r="I17" s="77">
        <v>1999</v>
      </c>
      <c r="J17" s="77">
        <v>2000</v>
      </c>
      <c r="K17" s="77">
        <v>2001</v>
      </c>
      <c r="L17" s="77">
        <v>2002</v>
      </c>
      <c r="M17" s="77">
        <v>2003</v>
      </c>
      <c r="N17" s="77">
        <v>2004</v>
      </c>
      <c r="O17" s="77">
        <v>2005</v>
      </c>
      <c r="P17" s="77">
        <v>2006</v>
      </c>
      <c r="Q17" s="77">
        <v>2007</v>
      </c>
      <c r="R17" s="62"/>
    </row>
    <row r="18" spans="1:18" ht="12.75">
      <c r="A18" s="118" t="s">
        <v>35</v>
      </c>
      <c r="B18" s="93">
        <f>100*B15/$E$15</f>
        <v>86.79888794749075</v>
      </c>
      <c r="C18" s="93">
        <f>100*C15/$E$15</f>
        <v>95.09081680749291</v>
      </c>
      <c r="D18" s="93">
        <f>100*D15/$E$15</f>
        <v>98.21526297183819</v>
      </c>
      <c r="E18" s="93">
        <f>100*E15/$E$15</f>
        <v>100</v>
      </c>
      <c r="F18" s="93">
        <f aca="true" t="shared" si="1" ref="F18:Q18">100*F15/$E$15</f>
        <v>99.90035744893326</v>
      </c>
      <c r="G18" s="93">
        <f t="shared" si="1"/>
        <v>99.60255460773405</v>
      </c>
      <c r="H18" s="93">
        <f t="shared" si="1"/>
        <v>110.97757613591862</v>
      </c>
      <c r="I18" s="93">
        <f t="shared" si="1"/>
        <v>115.70090781209406</v>
      </c>
      <c r="J18" s="93">
        <f t="shared" si="1"/>
        <v>114.47761349783903</v>
      </c>
      <c r="K18" s="93">
        <f t="shared" si="1"/>
        <v>116.81480858145328</v>
      </c>
      <c r="L18" s="93">
        <f t="shared" si="1"/>
        <v>114.40565530416468</v>
      </c>
      <c r="M18" s="93">
        <f t="shared" si="1"/>
        <v>117.27559615922202</v>
      </c>
      <c r="N18" s="93">
        <f t="shared" si="1"/>
        <v>111.85742839924296</v>
      </c>
      <c r="O18" s="93">
        <f t="shared" si="1"/>
        <v>112.17756472533038</v>
      </c>
      <c r="P18" s="93">
        <f t="shared" si="1"/>
        <v>119.29920239027113</v>
      </c>
      <c r="Q18" s="93">
        <f t="shared" si="1"/>
        <v>121.30084324034158</v>
      </c>
      <c r="R18" s="62" t="s">
        <v>268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R19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25.8515625" style="9" customWidth="1"/>
    <col min="2" max="16384" width="9.140625" style="9" customWidth="1"/>
  </cols>
  <sheetData>
    <row r="1" s="12" customFormat="1" ht="15.75">
      <c r="A1" s="46" t="s">
        <v>207</v>
      </c>
    </row>
    <row r="2" ht="12" customHeight="1"/>
    <row r="3" spans="1:18" ht="12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115" t="s">
        <v>132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80"/>
      <c r="P4" s="80"/>
      <c r="Q4" s="62"/>
      <c r="R4" s="62"/>
    </row>
    <row r="5" spans="1:18" s="12" customFormat="1" ht="12.75">
      <c r="A5" s="109" t="s">
        <v>138</v>
      </c>
      <c r="B5" s="77">
        <v>1992</v>
      </c>
      <c r="C5" s="77">
        <v>1993</v>
      </c>
      <c r="D5" s="77">
        <v>1994</v>
      </c>
      <c r="E5" s="77">
        <v>1995</v>
      </c>
      <c r="F5" s="77">
        <v>1996</v>
      </c>
      <c r="G5" s="77">
        <v>1997</v>
      </c>
      <c r="H5" s="77">
        <v>1998</v>
      </c>
      <c r="I5" s="77">
        <v>1999</v>
      </c>
      <c r="J5" s="77">
        <v>2000</v>
      </c>
      <c r="K5" s="77">
        <v>2001</v>
      </c>
      <c r="L5" s="77">
        <v>2002</v>
      </c>
      <c r="M5" s="77">
        <v>2003</v>
      </c>
      <c r="N5" s="77">
        <v>2004</v>
      </c>
      <c r="O5" s="77">
        <v>2005</v>
      </c>
      <c r="P5" s="77">
        <v>2006</v>
      </c>
      <c r="Q5" s="77">
        <v>2007</v>
      </c>
      <c r="R5" s="64"/>
    </row>
    <row r="6" spans="1:18" ht="12.75">
      <c r="A6" s="85" t="s">
        <v>206</v>
      </c>
      <c r="B6" s="78">
        <f>+BD_Sea!E34</f>
        <v>10.668802149259898</v>
      </c>
      <c r="C6" s="78">
        <f>+BD_Sea!F34</f>
        <v>10.865388621751553</v>
      </c>
      <c r="D6" s="78">
        <f>+BD_Sea!G34</f>
        <v>23.082705242776782</v>
      </c>
      <c r="E6" s="78">
        <f>+BD_Sea!H34</f>
        <v>24.50679109949672</v>
      </c>
      <c r="F6" s="78">
        <f>+BD_Sea!I34</f>
        <v>28.70973333357533</v>
      </c>
      <c r="G6" s="78">
        <f>+BD_Sea!J34</f>
        <v>32.623302786312394</v>
      </c>
      <c r="H6" s="78">
        <f>+BD_Sea!K34</f>
        <v>41.15168553279042</v>
      </c>
      <c r="I6" s="78">
        <f>+BD_Sea!L34</f>
        <v>22.109453141360483</v>
      </c>
      <c r="J6" s="78">
        <f>+BD_Sea!M34</f>
        <v>30.547847019129858</v>
      </c>
      <c r="K6" s="78">
        <f>+BD_Sea!N34</f>
        <v>60.67738692252861</v>
      </c>
      <c r="L6" s="78">
        <f>+BD_Sea!O34</f>
        <v>51.21484227400665</v>
      </c>
      <c r="M6" s="78">
        <f>+BD_Sea!P34</f>
        <v>83.15338068070113</v>
      </c>
      <c r="N6" s="78">
        <f>+BD_Sea!Q34</f>
        <v>82.8141891005922</v>
      </c>
      <c r="O6" s="78">
        <f>+BD_Sea!R34</f>
        <v>51.880380654461675</v>
      </c>
      <c r="P6" s="78">
        <f>+BD_Sea!S34</f>
        <v>57.98192548963223</v>
      </c>
      <c r="Q6" s="78">
        <f>+BD_Sea!T34</f>
        <v>80.29281785178983</v>
      </c>
      <c r="R6" s="62"/>
    </row>
    <row r="7" spans="1:18" ht="12.75">
      <c r="A7" s="5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80"/>
      <c r="P7" s="80"/>
      <c r="Q7" s="62"/>
      <c r="R7" s="62"/>
    </row>
    <row r="8" spans="1:18" ht="12.75">
      <c r="A8" s="113" t="s">
        <v>61</v>
      </c>
      <c r="B8" s="77">
        <v>1992</v>
      </c>
      <c r="C8" s="77">
        <v>1993</v>
      </c>
      <c r="D8" s="77">
        <v>1994</v>
      </c>
      <c r="E8" s="77">
        <v>1995</v>
      </c>
      <c r="F8" s="77">
        <v>1996</v>
      </c>
      <c r="G8" s="77">
        <v>1997</v>
      </c>
      <c r="H8" s="77">
        <v>1998</v>
      </c>
      <c r="I8" s="77">
        <v>1999</v>
      </c>
      <c r="J8" s="77">
        <v>2000</v>
      </c>
      <c r="K8" s="77">
        <v>2001</v>
      </c>
      <c r="L8" s="77">
        <v>2002</v>
      </c>
      <c r="M8" s="77">
        <v>2003</v>
      </c>
      <c r="N8" s="77">
        <v>2004</v>
      </c>
      <c r="O8" s="77">
        <v>2005</v>
      </c>
      <c r="P8" s="77">
        <v>2006</v>
      </c>
      <c r="Q8" s="77">
        <v>2007</v>
      </c>
      <c r="R8" s="62"/>
    </row>
    <row r="9" spans="1:18" ht="12.75">
      <c r="A9" s="118" t="s">
        <v>187</v>
      </c>
      <c r="B9" s="93">
        <f>100*B6/$E$6</f>
        <v>43.53406411286134</v>
      </c>
      <c r="C9" s="93">
        <f>100*C6/$E$6</f>
        <v>44.33623552605665</v>
      </c>
      <c r="D9" s="93">
        <f>100*D6/$E$6</f>
        <v>94.18901540010604</v>
      </c>
      <c r="E9" s="93">
        <f>100*E6/$E$6</f>
        <v>99.99999999999999</v>
      </c>
      <c r="F9" s="93">
        <f aca="true" t="shared" si="0" ref="F9:Q9">100*F6/$E$6</f>
        <v>117.1501124607249</v>
      </c>
      <c r="G9" s="93">
        <f t="shared" si="0"/>
        <v>133.11943882764135</v>
      </c>
      <c r="H9" s="93">
        <f t="shared" si="0"/>
        <v>167.91951816831508</v>
      </c>
      <c r="I9" s="93">
        <f t="shared" si="0"/>
        <v>90.21765865468421</v>
      </c>
      <c r="J9" s="93">
        <f t="shared" si="0"/>
        <v>124.65053827368365</v>
      </c>
      <c r="K9" s="93">
        <f t="shared" si="0"/>
        <v>247.5941736973255</v>
      </c>
      <c r="L9" s="93">
        <f t="shared" si="0"/>
        <v>208.98224523184683</v>
      </c>
      <c r="M9" s="93">
        <f t="shared" si="0"/>
        <v>339.30750192100345</v>
      </c>
      <c r="N9" s="93">
        <f t="shared" si="0"/>
        <v>337.9234301397089</v>
      </c>
      <c r="O9" s="93">
        <f t="shared" si="0"/>
        <v>211.69797565021523</v>
      </c>
      <c r="P9" s="93">
        <f t="shared" si="0"/>
        <v>236.59533903980994</v>
      </c>
      <c r="Q9" s="93">
        <f t="shared" si="0"/>
        <v>327.6349707548564</v>
      </c>
      <c r="R9" s="62" t="s">
        <v>269</v>
      </c>
    </row>
    <row r="10" spans="1:18" ht="12.75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0"/>
      <c r="P10" s="80"/>
      <c r="Q10" s="62"/>
      <c r="R10" s="62"/>
    </row>
    <row r="11" spans="1:18" ht="12.75">
      <c r="A11" s="5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0"/>
      <c r="P11" s="80"/>
      <c r="Q11" s="62"/>
      <c r="R11" s="62"/>
    </row>
    <row r="12" spans="1:18" ht="12.75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0"/>
      <c r="P12" s="80"/>
      <c r="Q12" s="62"/>
      <c r="R12" s="62"/>
    </row>
    <row r="13" spans="1:18" ht="12.75">
      <c r="A13" s="115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/>
      <c r="P13" s="80"/>
      <c r="Q13" s="62"/>
      <c r="R13" s="62"/>
    </row>
    <row r="14" spans="1:18" s="12" customFormat="1" ht="12.75">
      <c r="A14" s="109" t="s">
        <v>62</v>
      </c>
      <c r="B14" s="77">
        <v>1992</v>
      </c>
      <c r="C14" s="77">
        <v>1993</v>
      </c>
      <c r="D14" s="77">
        <v>1994</v>
      </c>
      <c r="E14" s="77">
        <v>1995</v>
      </c>
      <c r="F14" s="77">
        <v>1996</v>
      </c>
      <c r="G14" s="77">
        <v>1997</v>
      </c>
      <c r="H14" s="77">
        <v>1998</v>
      </c>
      <c r="I14" s="77">
        <v>1999</v>
      </c>
      <c r="J14" s="77">
        <v>2000</v>
      </c>
      <c r="K14" s="77">
        <v>2001</v>
      </c>
      <c r="L14" s="77">
        <v>2002</v>
      </c>
      <c r="M14" s="77">
        <v>2003</v>
      </c>
      <c r="N14" s="77">
        <v>2004</v>
      </c>
      <c r="O14" s="77">
        <v>2005</v>
      </c>
      <c r="P14" s="77">
        <v>2006</v>
      </c>
      <c r="Q14" s="77">
        <v>2007</v>
      </c>
      <c r="R14" s="64"/>
    </row>
    <row r="15" spans="1:18" ht="12.75">
      <c r="A15" s="85" t="s">
        <v>206</v>
      </c>
      <c r="B15" s="78">
        <f>+BD_Sea!E35</f>
        <v>1326.8997477420105</v>
      </c>
      <c r="C15" s="78">
        <f>+BD_Sea!F35</f>
        <v>1350.6447841612398</v>
      </c>
      <c r="D15" s="78">
        <f>+BD_Sea!G35</f>
        <v>1343.0241954936064</v>
      </c>
      <c r="E15" s="78">
        <f>+BD_Sea!H35</f>
        <v>1512.516547984049</v>
      </c>
      <c r="F15" s="78">
        <f>+BD_Sea!I35</f>
        <v>1451.75597122865</v>
      </c>
      <c r="G15" s="78">
        <f>+BD_Sea!J35</f>
        <v>1619.612527135442</v>
      </c>
      <c r="H15" s="78">
        <f>+BD_Sea!K35</f>
        <v>1622.2827559670004</v>
      </c>
      <c r="I15" s="78">
        <f>+BD_Sea!L35</f>
        <v>1702.2924240070588</v>
      </c>
      <c r="J15" s="78">
        <f>+BD_Sea!M35</f>
        <v>1834.414827315789</v>
      </c>
      <c r="K15" s="78">
        <f>+BD_Sea!N35</f>
        <v>2035.9190978953577</v>
      </c>
      <c r="L15" s="78">
        <f>+BD_Sea!O35</f>
        <v>2549.366439641726</v>
      </c>
      <c r="M15" s="78">
        <f>+BD_Sea!P35</f>
        <v>2381.196844909001</v>
      </c>
      <c r="N15" s="78">
        <f>+BD_Sea!Q35</f>
        <v>2284.343496625702</v>
      </c>
      <c r="O15" s="78">
        <f>+BD_Sea!R35</f>
        <v>2443.269066857347</v>
      </c>
      <c r="P15" s="78">
        <f>+BD_Sea!S35</f>
        <v>2846.7618007388824</v>
      </c>
      <c r="Q15" s="78">
        <f>+BD_Sea!T35</f>
        <v>2935.80569443099</v>
      </c>
      <c r="R15" s="62"/>
    </row>
    <row r="16" spans="1:18" ht="12" customHeight="1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80"/>
      <c r="P16" s="80"/>
      <c r="Q16" s="62"/>
      <c r="R16" s="62"/>
    </row>
    <row r="17" spans="1:18" ht="12.75">
      <c r="A17" s="113" t="s">
        <v>61</v>
      </c>
      <c r="B17" s="77">
        <v>1992</v>
      </c>
      <c r="C17" s="77">
        <v>1993</v>
      </c>
      <c r="D17" s="77">
        <v>1994</v>
      </c>
      <c r="E17" s="77">
        <v>1995</v>
      </c>
      <c r="F17" s="77">
        <v>1996</v>
      </c>
      <c r="G17" s="77">
        <v>1997</v>
      </c>
      <c r="H17" s="77">
        <v>1998</v>
      </c>
      <c r="I17" s="77">
        <v>1999</v>
      </c>
      <c r="J17" s="77">
        <v>2000</v>
      </c>
      <c r="K17" s="77">
        <v>2001</v>
      </c>
      <c r="L17" s="77">
        <v>2002</v>
      </c>
      <c r="M17" s="77">
        <v>2003</v>
      </c>
      <c r="N17" s="77">
        <v>2004</v>
      </c>
      <c r="O17" s="77">
        <v>2005</v>
      </c>
      <c r="P17" s="77">
        <v>2006</v>
      </c>
      <c r="Q17" s="77">
        <v>2007</v>
      </c>
      <c r="R17" s="62"/>
    </row>
    <row r="18" spans="1:18" ht="12.75">
      <c r="A18" s="118" t="s">
        <v>187</v>
      </c>
      <c r="B18" s="93">
        <f>100*B15/$E$15</f>
        <v>87.72794912627984</v>
      </c>
      <c r="C18" s="93">
        <f>100*C15/$E$15</f>
        <v>89.29785171351948</v>
      </c>
      <c r="D18" s="93">
        <f>100*D15/$E$15</f>
        <v>88.79401665281945</v>
      </c>
      <c r="E18" s="93">
        <f>100*E15/$E$15</f>
        <v>100.00000000000001</v>
      </c>
      <c r="F18" s="93">
        <f aca="true" t="shared" si="1" ref="F18:Q18">100*F15/$E$15</f>
        <v>95.98281573604046</v>
      </c>
      <c r="G18" s="93">
        <f t="shared" si="1"/>
        <v>107.08064842623608</v>
      </c>
      <c r="H18" s="93">
        <f t="shared" si="1"/>
        <v>107.25719054970027</v>
      </c>
      <c r="I18" s="93">
        <f t="shared" si="1"/>
        <v>112.54702808216885</v>
      </c>
      <c r="J18" s="93">
        <f t="shared" si="1"/>
        <v>121.28229801920386</v>
      </c>
      <c r="K18" s="93">
        <f t="shared" si="1"/>
        <v>134.604748662679</v>
      </c>
      <c r="L18" s="93">
        <f t="shared" si="1"/>
        <v>168.5513089453228</v>
      </c>
      <c r="M18" s="93">
        <f t="shared" si="1"/>
        <v>157.4327796996845</v>
      </c>
      <c r="N18" s="93">
        <f t="shared" si="1"/>
        <v>151.0293225995034</v>
      </c>
      <c r="O18" s="93">
        <f t="shared" si="1"/>
        <v>161.53668335819845</v>
      </c>
      <c r="P18" s="93">
        <f t="shared" si="1"/>
        <v>188.21359703688373</v>
      </c>
      <c r="Q18" s="93">
        <f t="shared" si="1"/>
        <v>194.1007322097709</v>
      </c>
      <c r="R18" s="62" t="s">
        <v>268</v>
      </c>
    </row>
    <row r="19" spans="1:18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R21"/>
  <sheetViews>
    <sheetView zoomScale="90" zoomScaleNormal="90" zoomScalePageLayoutView="0" workbookViewId="0" topLeftCell="A1">
      <selection activeCell="L27" sqref="L27"/>
    </sheetView>
  </sheetViews>
  <sheetFormatPr defaultColWidth="9.140625" defaultRowHeight="12.75"/>
  <cols>
    <col min="1" max="1" width="25.421875" style="9" customWidth="1"/>
    <col min="2" max="16384" width="9.140625" style="9" customWidth="1"/>
  </cols>
  <sheetData>
    <row r="1" s="12" customFormat="1" ht="15.75">
      <c r="A1" s="46" t="s">
        <v>209</v>
      </c>
    </row>
    <row r="2" spans="2:17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2:17" ht="12.75">
      <c r="B3" s="9">
        <v>1</v>
      </c>
      <c r="C3" s="9">
        <f>B3+1</f>
        <v>2</v>
      </c>
      <c r="D3" s="9">
        <f aca="true" t="shared" si="0" ref="D3:Q3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</row>
    <row r="4" spans="1:18" ht="12.75">
      <c r="A4" s="115" t="s">
        <v>132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80"/>
      <c r="P4" s="80"/>
      <c r="Q4" s="62"/>
      <c r="R4" s="62"/>
    </row>
    <row r="5" spans="1:18" s="12" customFormat="1" ht="12.75">
      <c r="A5" s="109" t="s">
        <v>138</v>
      </c>
      <c r="B5" s="77">
        <v>1992</v>
      </c>
      <c r="C5" s="77">
        <v>1993</v>
      </c>
      <c r="D5" s="77">
        <v>1994</v>
      </c>
      <c r="E5" s="77">
        <v>1995</v>
      </c>
      <c r="F5" s="77">
        <v>1996</v>
      </c>
      <c r="G5" s="77">
        <v>1997</v>
      </c>
      <c r="H5" s="77">
        <v>1998</v>
      </c>
      <c r="I5" s="77">
        <v>1999</v>
      </c>
      <c r="J5" s="77">
        <v>2000</v>
      </c>
      <c r="K5" s="77">
        <v>2001</v>
      </c>
      <c r="L5" s="77">
        <v>2002</v>
      </c>
      <c r="M5" s="77">
        <v>2003</v>
      </c>
      <c r="N5" s="77">
        <v>2004</v>
      </c>
      <c r="O5" s="77">
        <v>2005</v>
      </c>
      <c r="P5" s="77">
        <v>2006</v>
      </c>
      <c r="Q5" s="77">
        <v>2007</v>
      </c>
      <c r="R5" s="64"/>
    </row>
    <row r="6" spans="1:18" ht="12.75">
      <c r="A6" s="85" t="s">
        <v>208</v>
      </c>
      <c r="B6" s="78">
        <f>+BD_Air!E34</f>
        <v>49.67808440201304</v>
      </c>
      <c r="C6" s="78">
        <f>+BD_Air!F34</f>
        <v>176.71816642181415</v>
      </c>
      <c r="D6" s="78">
        <f>+BD_Air!G34</f>
        <v>62.441182074294574</v>
      </c>
      <c r="E6" s="78">
        <f>+BD_Air!H34</f>
        <v>131.45495413635334</v>
      </c>
      <c r="F6" s="78">
        <f>+BD_Air!I34</f>
        <v>121.40376083423283</v>
      </c>
      <c r="G6" s="78">
        <f>+BD_Air!J34</f>
        <v>126.50203601434343</v>
      </c>
      <c r="H6" s="78">
        <f>+BD_Air!K34</f>
        <v>64.08071775846712</v>
      </c>
      <c r="I6" s="78">
        <f>+BD_Air!L34</f>
        <v>41.05271588375737</v>
      </c>
      <c r="J6" s="78">
        <f>+BD_Air!M34</f>
        <v>60.162397064142276</v>
      </c>
      <c r="K6" s="78">
        <f>+BD_Air!N34</f>
        <v>73.56531266862403</v>
      </c>
      <c r="L6" s="78">
        <f>+BD_Air!O34</f>
        <v>89.31544513903637</v>
      </c>
      <c r="M6" s="78">
        <f>+BD_Air!P34</f>
        <v>107.92780486725866</v>
      </c>
      <c r="N6" s="78">
        <f>+BD_Air!Q34</f>
        <v>190.46900559252282</v>
      </c>
      <c r="O6" s="78">
        <f>+BD_Air!R34</f>
        <v>389.22803214667704</v>
      </c>
      <c r="P6" s="78">
        <f>+BD_Air!S34</f>
        <v>113.37911892687072</v>
      </c>
      <c r="Q6" s="78">
        <f>+BD_Air!T34</f>
        <v>152.6531546964554</v>
      </c>
      <c r="R6" s="62"/>
    </row>
    <row r="7" spans="1:18" ht="12.75">
      <c r="A7" s="5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80"/>
      <c r="P7" s="80"/>
      <c r="Q7" s="62"/>
      <c r="R7" s="62"/>
    </row>
    <row r="8" spans="1:18" ht="12.75">
      <c r="A8" s="113" t="s">
        <v>61</v>
      </c>
      <c r="B8" s="77">
        <v>1992</v>
      </c>
      <c r="C8" s="77">
        <v>1993</v>
      </c>
      <c r="D8" s="77">
        <v>1994</v>
      </c>
      <c r="E8" s="77">
        <v>1995</v>
      </c>
      <c r="F8" s="77">
        <v>1996</v>
      </c>
      <c r="G8" s="77">
        <v>1997</v>
      </c>
      <c r="H8" s="77">
        <v>1998</v>
      </c>
      <c r="I8" s="77">
        <v>1999</v>
      </c>
      <c r="J8" s="77">
        <v>2000</v>
      </c>
      <c r="K8" s="77">
        <v>2001</v>
      </c>
      <c r="L8" s="77">
        <v>2002</v>
      </c>
      <c r="M8" s="77">
        <v>2003</v>
      </c>
      <c r="N8" s="77">
        <v>2004</v>
      </c>
      <c r="O8" s="77">
        <v>2005</v>
      </c>
      <c r="P8" s="77">
        <v>2006</v>
      </c>
      <c r="Q8" s="77">
        <v>2007</v>
      </c>
      <c r="R8" s="62"/>
    </row>
    <row r="9" spans="1:18" ht="12.75">
      <c r="A9" s="118" t="s">
        <v>38</v>
      </c>
      <c r="B9" s="93">
        <f>100*B6/$E$6</f>
        <v>37.79095639901393</v>
      </c>
      <c r="C9" s="93">
        <f>100*C6/$E$6</f>
        <v>134.43248874326252</v>
      </c>
      <c r="D9" s="93">
        <f>100*D6/$E$6</f>
        <v>47.5000599897716</v>
      </c>
      <c r="E9" s="93">
        <f>100*E6/$E$6</f>
        <v>100</v>
      </c>
      <c r="F9" s="93">
        <f aca="true" t="shared" si="1" ref="F9:Q9">100*F6/$E$6</f>
        <v>92.353887787527</v>
      </c>
      <c r="G9" s="93">
        <f t="shared" si="1"/>
        <v>96.23223167620414</v>
      </c>
      <c r="H9" s="93">
        <f t="shared" si="1"/>
        <v>48.74728242801604</v>
      </c>
      <c r="I9" s="93">
        <f t="shared" si="1"/>
        <v>31.2294931396613</v>
      </c>
      <c r="J9" s="93">
        <f t="shared" si="1"/>
        <v>45.76654981122892</v>
      </c>
      <c r="K9" s="93">
        <f t="shared" si="1"/>
        <v>55.962373690623686</v>
      </c>
      <c r="L9" s="93">
        <f t="shared" si="1"/>
        <v>67.94376501504293</v>
      </c>
      <c r="M9" s="93">
        <f t="shared" si="1"/>
        <v>82.10250087289153</v>
      </c>
      <c r="N9" s="93">
        <f t="shared" si="1"/>
        <v>144.89298394563082</v>
      </c>
      <c r="O9" s="93">
        <f t="shared" si="1"/>
        <v>296.0923266101826</v>
      </c>
      <c r="P9" s="93">
        <f t="shared" si="1"/>
        <v>86.24940738959657</v>
      </c>
      <c r="Q9" s="93">
        <f t="shared" si="1"/>
        <v>116.1258285770759</v>
      </c>
      <c r="R9" s="62"/>
    </row>
    <row r="10" spans="1:18" ht="12.75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0"/>
      <c r="P10" s="80"/>
      <c r="Q10" s="62"/>
      <c r="R10" s="62"/>
    </row>
    <row r="11" spans="1:18" ht="12.75">
      <c r="A11" s="5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0"/>
      <c r="P11" s="80"/>
      <c r="Q11" s="62"/>
      <c r="R11" s="62"/>
    </row>
    <row r="12" spans="1:18" ht="12.75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0"/>
      <c r="P12" s="80"/>
      <c r="Q12" s="62"/>
      <c r="R12" s="62"/>
    </row>
    <row r="13" spans="1:18" ht="12.75">
      <c r="A13" s="115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/>
      <c r="P13" s="80"/>
      <c r="Q13" s="62"/>
      <c r="R13" s="62"/>
    </row>
    <row r="14" spans="1:18" s="12" customFormat="1" ht="12.75">
      <c r="A14" s="109" t="s">
        <v>62</v>
      </c>
      <c r="B14" s="77">
        <v>1992</v>
      </c>
      <c r="C14" s="77">
        <v>1993</v>
      </c>
      <c r="D14" s="77">
        <v>1994</v>
      </c>
      <c r="E14" s="77">
        <v>1995</v>
      </c>
      <c r="F14" s="77">
        <v>1996</v>
      </c>
      <c r="G14" s="77">
        <v>1997</v>
      </c>
      <c r="H14" s="77">
        <v>1998</v>
      </c>
      <c r="I14" s="77">
        <v>1999</v>
      </c>
      <c r="J14" s="77">
        <v>2000</v>
      </c>
      <c r="K14" s="77">
        <v>2001</v>
      </c>
      <c r="L14" s="77">
        <v>2002</v>
      </c>
      <c r="M14" s="77">
        <v>2003</v>
      </c>
      <c r="N14" s="77">
        <v>2004</v>
      </c>
      <c r="O14" s="77">
        <v>2005</v>
      </c>
      <c r="P14" s="77">
        <v>2006</v>
      </c>
      <c r="Q14" s="77">
        <v>2007</v>
      </c>
      <c r="R14" s="64"/>
    </row>
    <row r="15" spans="1:18" ht="12.75">
      <c r="A15" s="85" t="s">
        <v>208</v>
      </c>
      <c r="B15" s="78">
        <f>+BD_Air!E35</f>
        <v>3262.762044667486</v>
      </c>
      <c r="C15" s="78">
        <f>+BD_Air!F35</f>
        <v>2819.2553710789466</v>
      </c>
      <c r="D15" s="78">
        <f>+BD_Air!G35</f>
        <v>2856.448511949315</v>
      </c>
      <c r="E15" s="78">
        <f>+BD_Air!H35</f>
        <v>3144.2993290294066</v>
      </c>
      <c r="F15" s="78">
        <f>+BD_Air!I35</f>
        <v>2864.220817075834</v>
      </c>
      <c r="G15" s="78">
        <f>+BD_Air!J35</f>
        <v>3492.2238855029937</v>
      </c>
      <c r="H15" s="78">
        <f>+BD_Air!K35</f>
        <v>3790.7184737686002</v>
      </c>
      <c r="I15" s="78">
        <f>+BD_Air!L35</f>
        <v>3848.4683315487982</v>
      </c>
      <c r="J15" s="78">
        <f>+BD_Air!M35</f>
        <v>4283.993054537412</v>
      </c>
      <c r="K15" s="78">
        <f>+BD_Air!N35</f>
        <v>4514.238028537762</v>
      </c>
      <c r="L15" s="78">
        <f>+BD_Air!O35</f>
        <v>4922.61909087877</v>
      </c>
      <c r="M15" s="78">
        <f>+BD_Air!P35</f>
        <v>6399.094190518797</v>
      </c>
      <c r="N15" s="78">
        <f>+BD_Air!Q35</f>
        <v>5951.83251902781</v>
      </c>
      <c r="O15" s="78">
        <f>+BD_Air!R35</f>
        <v>6093.9481195597</v>
      </c>
      <c r="P15" s="78">
        <f>+BD_Air!S35</f>
        <v>6421.070559001448</v>
      </c>
      <c r="Q15" s="78">
        <f>+BD_Air!T35</f>
        <v>7751.1500243115515</v>
      </c>
      <c r="R15" s="62"/>
    </row>
    <row r="16" spans="1:18" ht="12" customHeight="1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80"/>
      <c r="P16" s="80"/>
      <c r="Q16" s="62"/>
      <c r="R16" s="62"/>
    </row>
    <row r="17" spans="1:18" ht="12.75">
      <c r="A17" s="113" t="s">
        <v>61</v>
      </c>
      <c r="B17" s="77">
        <v>1992</v>
      </c>
      <c r="C17" s="77">
        <v>1993</v>
      </c>
      <c r="D17" s="77">
        <v>1994</v>
      </c>
      <c r="E17" s="77">
        <v>1995</v>
      </c>
      <c r="F17" s="77">
        <v>1996</v>
      </c>
      <c r="G17" s="77">
        <v>1997</v>
      </c>
      <c r="H17" s="77">
        <v>1998</v>
      </c>
      <c r="I17" s="77">
        <v>1999</v>
      </c>
      <c r="J17" s="77">
        <v>2000</v>
      </c>
      <c r="K17" s="77">
        <v>2001</v>
      </c>
      <c r="L17" s="77">
        <v>2002</v>
      </c>
      <c r="M17" s="77">
        <v>2003</v>
      </c>
      <c r="N17" s="77">
        <v>2004</v>
      </c>
      <c r="O17" s="77">
        <v>2005</v>
      </c>
      <c r="P17" s="77">
        <v>2006</v>
      </c>
      <c r="Q17" s="77">
        <v>2007</v>
      </c>
      <c r="R17" s="62"/>
    </row>
    <row r="18" spans="1:18" ht="12.75">
      <c r="A18" s="118" t="s">
        <v>38</v>
      </c>
      <c r="B18" s="93">
        <f>100*B15/$E$15</f>
        <v>103.76753938610058</v>
      </c>
      <c r="C18" s="93">
        <f>100*C15/$E$15</f>
        <v>89.66243592174808</v>
      </c>
      <c r="D18" s="93">
        <f>100*D15/$E$15</f>
        <v>90.84531124557579</v>
      </c>
      <c r="E18" s="93">
        <f>100*E15/$E$15</f>
        <v>100</v>
      </c>
      <c r="F18" s="93">
        <f aca="true" t="shared" si="2" ref="F18:Q18">100*F15/$E$15</f>
        <v>91.09249843461855</v>
      </c>
      <c r="G18" s="93">
        <f t="shared" si="2"/>
        <v>111.0652492038977</v>
      </c>
      <c r="H18" s="93">
        <f t="shared" si="2"/>
        <v>120.55844807048739</v>
      </c>
      <c r="I18" s="93">
        <f t="shared" si="2"/>
        <v>122.39510074687313</v>
      </c>
      <c r="J18" s="93">
        <f t="shared" si="2"/>
        <v>136.24634954394784</v>
      </c>
      <c r="K18" s="93">
        <f t="shared" si="2"/>
        <v>143.56896580616683</v>
      </c>
      <c r="L18" s="93">
        <f t="shared" si="2"/>
        <v>156.55694880672513</v>
      </c>
      <c r="M18" s="93">
        <f t="shared" si="2"/>
        <v>203.5141543758206</v>
      </c>
      <c r="N18" s="93">
        <f t="shared" si="2"/>
        <v>189.28962850572634</v>
      </c>
      <c r="O18" s="93">
        <f t="shared" si="2"/>
        <v>193.80941449492346</v>
      </c>
      <c r="P18" s="93">
        <f t="shared" si="2"/>
        <v>204.21308174191947</v>
      </c>
      <c r="Q18" s="93">
        <f t="shared" si="2"/>
        <v>246.51438089083598</v>
      </c>
      <c r="R18" s="62"/>
    </row>
    <row r="19" spans="1:18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46"/>
  <sheetViews>
    <sheetView zoomScale="85" zoomScaleNormal="85" zoomScalePageLayoutView="0" workbookViewId="0" topLeftCell="A1">
      <selection activeCell="B36" sqref="B36"/>
    </sheetView>
  </sheetViews>
  <sheetFormatPr defaultColWidth="9.140625" defaultRowHeight="12.75"/>
  <cols>
    <col min="2" max="2" width="42.57421875" style="0" customWidth="1"/>
    <col min="4" max="4" width="69.28125" style="0" customWidth="1"/>
  </cols>
  <sheetData>
    <row r="1" s="6" customFormat="1" ht="12.75">
      <c r="A1" s="6" t="s">
        <v>110</v>
      </c>
    </row>
    <row r="2" spans="1:2" ht="12.75">
      <c r="A2" t="s">
        <v>57</v>
      </c>
      <c r="B2" t="s">
        <v>58</v>
      </c>
    </row>
    <row r="4" s="6" customFormat="1" ht="12.75">
      <c r="A4" s="6" t="s">
        <v>112</v>
      </c>
    </row>
    <row r="5" spans="1:2" ht="12.75">
      <c r="A5" t="s">
        <v>95</v>
      </c>
      <c r="B5" t="s">
        <v>96</v>
      </c>
    </row>
    <row r="7" s="6" customFormat="1" ht="12.75">
      <c r="A7" s="6" t="s">
        <v>113</v>
      </c>
    </row>
    <row r="8" spans="1:2" ht="12.75">
      <c r="A8" t="s">
        <v>93</v>
      </c>
      <c r="B8" t="s">
        <v>94</v>
      </c>
    </row>
    <row r="10" s="6" customFormat="1" ht="12.75">
      <c r="A10" s="6" t="s">
        <v>111</v>
      </c>
    </row>
    <row r="11" spans="1:4" s="5" customFormat="1" ht="12.75">
      <c r="A11" s="5" t="s">
        <v>114</v>
      </c>
      <c r="B11" s="5" t="s">
        <v>56</v>
      </c>
      <c r="C11" t="s">
        <v>134</v>
      </c>
      <c r="D11" t="s">
        <v>115</v>
      </c>
    </row>
    <row r="12" spans="1:11" ht="12.75">
      <c r="A12" t="s">
        <v>70</v>
      </c>
      <c r="B12" t="s">
        <v>26</v>
      </c>
      <c r="C12" t="s">
        <v>174</v>
      </c>
      <c r="D12" t="s">
        <v>59</v>
      </c>
      <c r="K12" s="23"/>
    </row>
    <row r="13" spans="1:11" ht="12.75">
      <c r="A13" t="s">
        <v>166</v>
      </c>
      <c r="B13" t="s">
        <v>1</v>
      </c>
      <c r="C13" t="s">
        <v>28</v>
      </c>
      <c r="D13" t="s">
        <v>60</v>
      </c>
      <c r="K13" s="23"/>
    </row>
    <row r="14" spans="1:11" ht="12.75">
      <c r="A14" t="s">
        <v>71</v>
      </c>
      <c r="B14" t="s">
        <v>97</v>
      </c>
      <c r="C14" t="s">
        <v>175</v>
      </c>
      <c r="D14" t="s">
        <v>116</v>
      </c>
      <c r="K14" s="23"/>
    </row>
    <row r="15" spans="1:11" ht="12.75">
      <c r="A15" t="s">
        <v>72</v>
      </c>
      <c r="B15" t="s">
        <v>3</v>
      </c>
      <c r="C15" s="9" t="s">
        <v>34</v>
      </c>
      <c r="D15" t="s">
        <v>117</v>
      </c>
      <c r="K15" s="23"/>
    </row>
    <row r="16" spans="1:11" ht="12.75">
      <c r="A16" t="s">
        <v>167</v>
      </c>
      <c r="B16" t="s">
        <v>98</v>
      </c>
      <c r="K16" s="23"/>
    </row>
    <row r="17" spans="1:11" ht="12.75">
      <c r="A17" t="s">
        <v>168</v>
      </c>
      <c r="B17" t="s">
        <v>4</v>
      </c>
      <c r="K17" s="23"/>
    </row>
    <row r="18" spans="1:11" ht="12.75">
      <c r="A18" t="s">
        <v>73</v>
      </c>
      <c r="B18" t="s">
        <v>9</v>
      </c>
      <c r="K18" s="23"/>
    </row>
    <row r="19" spans="1:11" ht="12.75">
      <c r="A19" t="s">
        <v>169</v>
      </c>
      <c r="B19" t="s">
        <v>27</v>
      </c>
      <c r="K19" s="23"/>
    </row>
    <row r="20" spans="1:11" ht="12.75">
      <c r="A20" t="s">
        <v>74</v>
      </c>
      <c r="B20" t="s">
        <v>20</v>
      </c>
      <c r="K20" s="23"/>
    </row>
    <row r="21" spans="1:11" ht="12.75">
      <c r="A21" t="s">
        <v>75</v>
      </c>
      <c r="B21" t="s">
        <v>6</v>
      </c>
      <c r="K21" s="23"/>
    </row>
    <row r="22" spans="1:11" ht="12.75">
      <c r="A22" t="s">
        <v>76</v>
      </c>
      <c r="B22" t="s">
        <v>10</v>
      </c>
      <c r="K22" s="23"/>
    </row>
    <row r="23" spans="1:11" ht="12.75">
      <c r="A23" t="s">
        <v>77</v>
      </c>
      <c r="B23" t="s">
        <v>29</v>
      </c>
      <c r="K23" s="23"/>
    </row>
    <row r="24" spans="1:11" ht="12.75">
      <c r="A24" t="s">
        <v>78</v>
      </c>
      <c r="B24" t="s">
        <v>11</v>
      </c>
      <c r="K24" s="23"/>
    </row>
    <row r="25" spans="1:11" ht="12.75">
      <c r="A25" t="s">
        <v>79</v>
      </c>
      <c r="B25" t="s">
        <v>13</v>
      </c>
      <c r="K25" s="23"/>
    </row>
    <row r="26" spans="1:11" ht="12.75">
      <c r="A26" t="s">
        <v>80</v>
      </c>
      <c r="B26" t="s">
        <v>99</v>
      </c>
      <c r="K26" s="23"/>
    </row>
    <row r="27" spans="1:11" ht="12.75">
      <c r="A27" t="s">
        <v>170</v>
      </c>
      <c r="B27" t="s">
        <v>30</v>
      </c>
      <c r="K27" s="23"/>
    </row>
    <row r="28" spans="1:11" ht="12.75">
      <c r="A28" t="s">
        <v>171</v>
      </c>
      <c r="B28" t="s">
        <v>14</v>
      </c>
      <c r="K28" s="23"/>
    </row>
    <row r="29" spans="1:11" ht="12.75">
      <c r="A29" t="s">
        <v>81</v>
      </c>
      <c r="B29" t="s">
        <v>33</v>
      </c>
      <c r="K29" s="23"/>
    </row>
    <row r="30" spans="1:11" ht="12.75">
      <c r="A30" t="s">
        <v>82</v>
      </c>
      <c r="B30" t="s">
        <v>0</v>
      </c>
      <c r="K30" s="23"/>
    </row>
    <row r="31" spans="1:11" ht="12.75">
      <c r="A31" t="s">
        <v>83</v>
      </c>
      <c r="B31" t="s">
        <v>15</v>
      </c>
      <c r="K31" s="23"/>
    </row>
    <row r="32" spans="1:11" ht="12.75">
      <c r="A32" t="s">
        <v>84</v>
      </c>
      <c r="B32" t="s">
        <v>16</v>
      </c>
      <c r="K32" s="23"/>
    </row>
    <row r="33" spans="1:11" ht="12.75">
      <c r="A33" t="s">
        <v>85</v>
      </c>
      <c r="B33" t="s">
        <v>17</v>
      </c>
      <c r="K33" s="23"/>
    </row>
    <row r="34" spans="1:11" ht="12.75">
      <c r="A34" t="s">
        <v>86</v>
      </c>
      <c r="B34" t="s">
        <v>19</v>
      </c>
      <c r="K34" s="23"/>
    </row>
    <row r="35" spans="1:11" ht="12.75">
      <c r="A35" t="s">
        <v>172</v>
      </c>
      <c r="B35" t="s">
        <v>18</v>
      </c>
      <c r="K35" s="23"/>
    </row>
    <row r="36" spans="1:11" ht="12.75">
      <c r="A36" t="s">
        <v>87</v>
      </c>
      <c r="B36" t="s">
        <v>5</v>
      </c>
      <c r="K36" s="23"/>
    </row>
    <row r="37" spans="1:11" ht="12.75">
      <c r="A37" t="s">
        <v>88</v>
      </c>
      <c r="B37" t="s">
        <v>21</v>
      </c>
      <c r="K37" s="23"/>
    </row>
    <row r="38" spans="1:11" ht="12.75">
      <c r="A38" t="s">
        <v>23</v>
      </c>
      <c r="B38" t="s">
        <v>100</v>
      </c>
      <c r="K38" s="23"/>
    </row>
    <row r="39" spans="1:11" ht="12.75">
      <c r="A39" t="s">
        <v>89</v>
      </c>
      <c r="B39" t="s">
        <v>32</v>
      </c>
      <c r="K39" s="23"/>
    </row>
    <row r="40" spans="1:11" ht="12.75">
      <c r="A40" t="s">
        <v>90</v>
      </c>
      <c r="B40" t="s">
        <v>8</v>
      </c>
      <c r="K40" s="23"/>
    </row>
    <row r="41" spans="1:11" ht="12.75">
      <c r="A41" t="s">
        <v>173</v>
      </c>
      <c r="B41" t="s">
        <v>12</v>
      </c>
      <c r="K41" s="23"/>
    </row>
    <row r="42" spans="1:11" ht="12.75">
      <c r="A42" t="s">
        <v>91</v>
      </c>
      <c r="B42" t="s">
        <v>31</v>
      </c>
      <c r="K42" s="25"/>
    </row>
    <row r="43" spans="1:11" ht="12.75">
      <c r="A43" t="s">
        <v>92</v>
      </c>
      <c r="B43" t="s">
        <v>22</v>
      </c>
      <c r="K43" s="25"/>
    </row>
    <row r="44" ht="12.75">
      <c r="K44" s="25"/>
    </row>
    <row r="45" ht="12.75">
      <c r="K45" s="25"/>
    </row>
    <row r="46" ht="12.75">
      <c r="K46" s="25"/>
    </row>
    <row r="57" ht="12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X87"/>
  <sheetViews>
    <sheetView zoomScale="90" zoomScaleNormal="90" zoomScalePageLayoutView="0" workbookViewId="0" topLeftCell="A1">
      <selection activeCell="B89" sqref="B89"/>
    </sheetView>
  </sheetViews>
  <sheetFormatPr defaultColWidth="19.140625" defaultRowHeight="12.75"/>
  <cols>
    <col min="1" max="1" width="19.140625" style="23" customWidth="1"/>
    <col min="2" max="3" width="13.00390625" style="23" customWidth="1"/>
    <col min="4" max="8" width="16.140625" style="24" customWidth="1"/>
    <col min="9" max="10" width="17.00390625" style="24" customWidth="1"/>
    <col min="11" max="16384" width="19.140625" style="24" customWidth="1"/>
  </cols>
  <sheetData>
    <row r="1" spans="1:19" s="27" customFormat="1" ht="20.25" customHeight="1">
      <c r="A1" s="39" t="s">
        <v>123</v>
      </c>
      <c r="B1" s="39"/>
      <c r="C1" s="39"/>
      <c r="D1" s="40"/>
      <c r="E1" s="40" t="s">
        <v>245</v>
      </c>
      <c r="F1" s="40"/>
      <c r="G1" s="40"/>
      <c r="H1" s="40"/>
      <c r="I1" s="40"/>
      <c r="J1" s="22"/>
      <c r="S1" s="41"/>
    </row>
    <row r="2" spans="1:24" s="28" customFormat="1" ht="12.75">
      <c r="A2" s="30"/>
      <c r="B2" s="30" t="s">
        <v>34</v>
      </c>
      <c r="C2" s="30" t="s">
        <v>134</v>
      </c>
      <c r="D2" s="31">
        <v>1990</v>
      </c>
      <c r="E2" s="31">
        <v>1991</v>
      </c>
      <c r="F2" s="31">
        <v>1992</v>
      </c>
      <c r="G2" s="31">
        <v>1993</v>
      </c>
      <c r="H2" s="31">
        <v>1994</v>
      </c>
      <c r="I2" s="31">
        <v>1995</v>
      </c>
      <c r="J2" s="31">
        <v>1996</v>
      </c>
      <c r="K2" s="31">
        <v>1997</v>
      </c>
      <c r="L2" s="31">
        <v>1998</v>
      </c>
      <c r="M2" s="31">
        <v>1999</v>
      </c>
      <c r="N2" s="31">
        <v>2000</v>
      </c>
      <c r="O2" s="31">
        <v>2001</v>
      </c>
      <c r="P2" s="31">
        <v>2002</v>
      </c>
      <c r="Q2" s="31">
        <v>2003</v>
      </c>
      <c r="R2" s="31">
        <v>2004</v>
      </c>
      <c r="S2" s="31">
        <v>2005</v>
      </c>
      <c r="T2" s="31">
        <v>2006</v>
      </c>
      <c r="U2" s="31">
        <v>2007</v>
      </c>
      <c r="V2" s="31">
        <v>2008</v>
      </c>
      <c r="W2" s="31">
        <v>2009</v>
      </c>
      <c r="X2" s="31">
        <v>2010</v>
      </c>
    </row>
    <row r="3" spans="1:24" ht="12.75">
      <c r="A3" s="32" t="s">
        <v>70</v>
      </c>
      <c r="B3" s="119" t="s">
        <v>210</v>
      </c>
      <c r="C3" s="119" t="s">
        <v>210</v>
      </c>
      <c r="D3" s="33">
        <v>203.555434392669</v>
      </c>
      <c r="E3" s="33">
        <v>207.28675674164407</v>
      </c>
      <c r="F3" s="33">
        <v>210.45960145441776</v>
      </c>
      <c r="G3" s="33">
        <v>208.43524718111877</v>
      </c>
      <c r="H3" s="33">
        <v>215.16139313843198</v>
      </c>
      <c r="I3" s="44">
        <v>220.29246999999998</v>
      </c>
      <c r="J3" s="44">
        <v>222.92501999999996</v>
      </c>
      <c r="K3" s="44">
        <v>230.75470999999996</v>
      </c>
      <c r="L3" s="44">
        <v>234.63556999999997</v>
      </c>
      <c r="M3" s="44">
        <v>242.6533</v>
      </c>
      <c r="N3" s="44">
        <v>251.741</v>
      </c>
      <c r="O3" s="44">
        <v>253.73881</v>
      </c>
      <c r="P3" s="44">
        <v>257.56757999999996</v>
      </c>
      <c r="Q3" s="44">
        <v>260.12068</v>
      </c>
      <c r="R3" s="44">
        <v>267.83561</v>
      </c>
      <c r="S3" s="44">
        <v>272.78378999999995</v>
      </c>
      <c r="T3" s="44">
        <v>280.9321800000001</v>
      </c>
      <c r="U3" s="44">
        <v>288.67623000000003</v>
      </c>
      <c r="V3" s="44">
        <v>292.06095000000005</v>
      </c>
      <c r="W3" s="44">
        <v>281.9788065567677</v>
      </c>
      <c r="X3" s="44">
        <v>281.27787484619165</v>
      </c>
    </row>
    <row r="4" spans="1:24" ht="12.75">
      <c r="A4" s="32" t="s">
        <v>124</v>
      </c>
      <c r="B4" s="119" t="s">
        <v>210</v>
      </c>
      <c r="C4" s="119" t="s">
        <v>210</v>
      </c>
      <c r="D4" s="33">
        <v>14.92746577070806</v>
      </c>
      <c r="E4" s="33">
        <v>14.92746577070806</v>
      </c>
      <c r="F4" s="33">
        <v>13.844944581922396</v>
      </c>
      <c r="G4" s="33">
        <v>13.639994160480889</v>
      </c>
      <c r="H4" s="33">
        <v>13.88794684770387</v>
      </c>
      <c r="I4" s="44">
        <v>14.285190419904037</v>
      </c>
      <c r="J4" s="44">
        <v>12.942793977487892</v>
      </c>
      <c r="K4" s="44">
        <v>12.221086972127612</v>
      </c>
      <c r="L4" s="44">
        <v>12.710771171261708</v>
      </c>
      <c r="M4" s="44">
        <v>13.003307189170457</v>
      </c>
      <c r="N4" s="44">
        <v>13.704390628101043</v>
      </c>
      <c r="O4" s="44">
        <v>14.261667464850595</v>
      </c>
      <c r="P4" s="44">
        <v>14.903436379268156</v>
      </c>
      <c r="Q4" s="44">
        <v>15.649675490845977</v>
      </c>
      <c r="R4" s="44">
        <v>16.68907557689102</v>
      </c>
      <c r="S4" s="44">
        <v>17.73140578712826</v>
      </c>
      <c r="T4" s="44">
        <v>18.85242417519127</v>
      </c>
      <c r="U4" s="44">
        <v>20.01510462628774</v>
      </c>
      <c r="V4" s="44">
        <v>21.218786325696005</v>
      </c>
      <c r="W4" s="44">
        <v>20.887548237443195</v>
      </c>
      <c r="X4" s="44">
        <v>20.863194600854044</v>
      </c>
    </row>
    <row r="5" spans="1:24" ht="12.75">
      <c r="A5" s="32" t="s">
        <v>71</v>
      </c>
      <c r="B5" s="119" t="s">
        <v>210</v>
      </c>
      <c r="C5" s="119" t="s">
        <v>210</v>
      </c>
      <c r="D5" s="33">
        <v>59.95385528717961</v>
      </c>
      <c r="E5" s="33">
        <v>52.99024955403643</v>
      </c>
      <c r="F5" s="33">
        <v>52.721831498244065</v>
      </c>
      <c r="G5" s="33">
        <v>52.75446855264693</v>
      </c>
      <c r="H5" s="33">
        <v>53.925348732529606</v>
      </c>
      <c r="I5" s="44">
        <v>57.12721336631112</v>
      </c>
      <c r="J5" s="44">
        <v>59.42797741152187</v>
      </c>
      <c r="K5" s="44">
        <v>58.99364520549241</v>
      </c>
      <c r="L5" s="44">
        <v>58.54588583645157</v>
      </c>
      <c r="M5" s="44">
        <v>59.330110809154355</v>
      </c>
      <c r="N5" s="44">
        <v>61.494412180914644</v>
      </c>
      <c r="O5" s="44">
        <v>63.004939929396606</v>
      </c>
      <c r="P5" s="44">
        <v>64.2000417083077</v>
      </c>
      <c r="Q5" s="44">
        <v>66.51271604037376</v>
      </c>
      <c r="R5" s="44">
        <v>69.49556873044334</v>
      </c>
      <c r="S5" s="44">
        <v>73.88515551349893</v>
      </c>
      <c r="T5" s="44">
        <v>78.89958291167022</v>
      </c>
      <c r="U5" s="44">
        <v>83.59451124688852</v>
      </c>
      <c r="V5" s="44">
        <v>86.28230343429783</v>
      </c>
      <c r="W5" s="44">
        <v>83.92171964563158</v>
      </c>
      <c r="X5" s="44">
        <v>84.18000089594243</v>
      </c>
    </row>
    <row r="6" spans="1:24" ht="12.75">
      <c r="A6" s="32" t="s">
        <v>72</v>
      </c>
      <c r="B6" s="119" t="s">
        <v>210</v>
      </c>
      <c r="C6" s="119" t="s">
        <v>210</v>
      </c>
      <c r="D6" s="33">
        <v>134.34486229072252</v>
      </c>
      <c r="E6" s="33">
        <v>136.09188669973904</v>
      </c>
      <c r="F6" s="33">
        <v>138.78030799695006</v>
      </c>
      <c r="G6" s="33">
        <v>138.65594218316122</v>
      </c>
      <c r="H6" s="33">
        <v>146.31725195902496</v>
      </c>
      <c r="I6" s="44">
        <v>150.80220250375098</v>
      </c>
      <c r="J6" s="44">
        <v>155.076791024722</v>
      </c>
      <c r="K6" s="44">
        <v>160.03693435525182</v>
      </c>
      <c r="L6" s="44">
        <v>163.49435764236324</v>
      </c>
      <c r="M6" s="44">
        <v>167.6805350831974</v>
      </c>
      <c r="N6" s="44">
        <v>173.59750363912315</v>
      </c>
      <c r="O6" s="44">
        <v>174.8211720183767</v>
      </c>
      <c r="P6" s="44">
        <v>175.63551990370385</v>
      </c>
      <c r="Q6" s="44">
        <v>176.30953700022505</v>
      </c>
      <c r="R6" s="44">
        <v>180.3584693196935</v>
      </c>
      <c r="S6" s="44">
        <v>184.76855888912917</v>
      </c>
      <c r="T6" s="44">
        <v>190.94713838020942</v>
      </c>
      <c r="U6" s="44">
        <v>194.09116518295107</v>
      </c>
      <c r="V6" s="44">
        <v>191.87579012028098</v>
      </c>
      <c r="W6" s="44">
        <v>185.59154013389963</v>
      </c>
      <c r="X6" s="44">
        <v>186.07691886314566</v>
      </c>
    </row>
    <row r="7" spans="1:24" ht="12.75">
      <c r="A7" s="32" t="s">
        <v>125</v>
      </c>
      <c r="B7" s="119" t="s">
        <v>210</v>
      </c>
      <c r="C7" s="119" t="s">
        <v>210</v>
      </c>
      <c r="D7" s="33">
        <v>1674.987200522339</v>
      </c>
      <c r="E7" s="33">
        <v>1760.55</v>
      </c>
      <c r="F7" s="33">
        <v>1799.7375</v>
      </c>
      <c r="G7" s="33">
        <v>1785.3</v>
      </c>
      <c r="H7" s="33">
        <v>1832.7374999999997</v>
      </c>
      <c r="I7" s="44">
        <v>1867.3874999999998</v>
      </c>
      <c r="J7" s="44">
        <v>1885.9499999999998</v>
      </c>
      <c r="K7" s="44">
        <v>1919.9812</v>
      </c>
      <c r="L7" s="44">
        <v>1958.9625000000003</v>
      </c>
      <c r="M7" s="44">
        <v>1998.3562</v>
      </c>
      <c r="N7" s="44">
        <v>2062.5</v>
      </c>
      <c r="O7" s="44">
        <v>2088.075</v>
      </c>
      <c r="P7" s="44">
        <v>2088.075</v>
      </c>
      <c r="Q7" s="44">
        <v>2083.5375</v>
      </c>
      <c r="R7" s="44">
        <v>2108.7</v>
      </c>
      <c r="S7" s="44">
        <v>2124.9937999999997</v>
      </c>
      <c r="T7" s="44">
        <v>2187.9</v>
      </c>
      <c r="U7" s="44">
        <v>2241.7312</v>
      </c>
      <c r="V7" s="44">
        <v>2270.8125</v>
      </c>
      <c r="W7" s="44">
        <v>2149.2007567489463</v>
      </c>
      <c r="X7" s="44">
        <v>2154.6339974674747</v>
      </c>
    </row>
    <row r="8" spans="1:24" ht="12.75">
      <c r="A8" s="32" t="s">
        <v>126</v>
      </c>
      <c r="B8" s="119" t="s">
        <v>210</v>
      </c>
      <c r="C8" s="119" t="s">
        <v>210</v>
      </c>
      <c r="D8" s="33">
        <v>4.427410124221868</v>
      </c>
      <c r="E8" s="33">
        <v>4.427410124221868</v>
      </c>
      <c r="F8" s="33">
        <v>4.427410124221868</v>
      </c>
      <c r="G8" s="33">
        <v>4.427410124221868</v>
      </c>
      <c r="H8" s="33">
        <v>4.35469454414656</v>
      </c>
      <c r="I8" s="44">
        <v>4.551818286400881</v>
      </c>
      <c r="J8" s="44">
        <v>4.7783428987767325</v>
      </c>
      <c r="K8" s="44">
        <v>5.294478672682884</v>
      </c>
      <c r="L8" s="44">
        <v>5.578157554995975</v>
      </c>
      <c r="M8" s="44">
        <v>5.570563572916801</v>
      </c>
      <c r="N8" s="44">
        <v>6.102985313103167</v>
      </c>
      <c r="O8" s="44">
        <v>6.570642184244501</v>
      </c>
      <c r="P8" s="44">
        <v>7.08444518297905</v>
      </c>
      <c r="Q8" s="44">
        <v>7.588646734753878</v>
      </c>
      <c r="R8" s="44">
        <v>8.160379251722421</v>
      </c>
      <c r="S8" s="44">
        <v>8.907567778303275</v>
      </c>
      <c r="T8" s="44">
        <v>9.83190533406619</v>
      </c>
      <c r="U8" s="44">
        <v>10.454547313793414</v>
      </c>
      <c r="V8" s="44">
        <v>10.074438536167605</v>
      </c>
      <c r="W8" s="44">
        <v>9.037187495166545</v>
      </c>
      <c r="X8" s="44">
        <v>8.962328703486277</v>
      </c>
    </row>
    <row r="9" spans="1:24" ht="12.75">
      <c r="A9" s="32" t="s">
        <v>73</v>
      </c>
      <c r="B9" s="119" t="s">
        <v>210</v>
      </c>
      <c r="C9" s="119" t="s">
        <v>210</v>
      </c>
      <c r="D9" s="33">
        <v>52.38316119408997</v>
      </c>
      <c r="E9" s="33">
        <v>53.393974869014784</v>
      </c>
      <c r="F9" s="33">
        <v>55.179070318095036</v>
      </c>
      <c r="G9" s="33">
        <v>56.664836347700245</v>
      </c>
      <c r="H9" s="33">
        <v>59.92636762344716</v>
      </c>
      <c r="I9" s="44">
        <v>65.80269452621096</v>
      </c>
      <c r="J9" s="44">
        <v>71.70034484037191</v>
      </c>
      <c r="K9" s="44">
        <v>79.94399312446497</v>
      </c>
      <c r="L9" s="44">
        <v>86.68364347728931</v>
      </c>
      <c r="M9" s="44">
        <v>95.98062431963712</v>
      </c>
      <c r="N9" s="44">
        <v>104.84464</v>
      </c>
      <c r="O9" s="44">
        <v>110.91920242337837</v>
      </c>
      <c r="P9" s="44">
        <v>118.05020744209055</v>
      </c>
      <c r="Q9" s="44">
        <v>123.37934097816566</v>
      </c>
      <c r="R9" s="44">
        <v>129.18300017172663</v>
      </c>
      <c r="S9" s="44">
        <v>137.41625833194448</v>
      </c>
      <c r="T9" s="44">
        <v>145.26065185596158</v>
      </c>
      <c r="U9" s="44">
        <v>154.01472622555988</v>
      </c>
      <c r="V9" s="44">
        <v>150.5283746598732</v>
      </c>
      <c r="W9" s="44">
        <v>136.9274473611473</v>
      </c>
      <c r="X9" s="44">
        <v>133.37037363911531</v>
      </c>
    </row>
    <row r="10" spans="1:24" ht="12.75">
      <c r="A10" s="32" t="s">
        <v>211</v>
      </c>
      <c r="B10" s="119" t="s">
        <v>210</v>
      </c>
      <c r="C10" s="119" t="s">
        <v>210</v>
      </c>
      <c r="D10" s="33">
        <v>109.44129273117069</v>
      </c>
      <c r="E10" s="33">
        <v>112.8358094270756</v>
      </c>
      <c r="F10" s="33">
        <v>113.62245623977941</v>
      </c>
      <c r="G10" s="33">
        <v>111.80548696785813</v>
      </c>
      <c r="H10" s="33">
        <v>114.04142626391615</v>
      </c>
      <c r="I10" s="44">
        <v>116.43608177739318</v>
      </c>
      <c r="J10" s="44">
        <v>119.18211270749676</v>
      </c>
      <c r="K10" s="44">
        <v>123.51657503690055</v>
      </c>
      <c r="L10" s="44">
        <v>127.67042087811681</v>
      </c>
      <c r="M10" s="44">
        <v>132.03742930878465</v>
      </c>
      <c r="N10" s="44">
        <v>137.94880100414005</v>
      </c>
      <c r="O10" s="44">
        <v>143.7385794252513</v>
      </c>
      <c r="P10" s="44">
        <v>148.68196495632193</v>
      </c>
      <c r="Q10" s="44">
        <v>156.98084845785547</v>
      </c>
      <c r="R10" s="44">
        <v>164.6981607636323</v>
      </c>
      <c r="S10" s="44">
        <v>169.47193570264497</v>
      </c>
      <c r="T10" s="44">
        <v>177.09316638155298</v>
      </c>
      <c r="U10" s="44">
        <v>184.24123654988819</v>
      </c>
      <c r="V10" s="44">
        <v>189.64416799101136</v>
      </c>
      <c r="W10" s="44">
        <v>188.02505275282334</v>
      </c>
      <c r="X10" s="44">
        <v>188.11942197381336</v>
      </c>
    </row>
    <row r="11" spans="1:24" ht="12.75">
      <c r="A11" s="32" t="s">
        <v>74</v>
      </c>
      <c r="B11" s="119" t="s">
        <v>210</v>
      </c>
      <c r="C11" s="119" t="s">
        <v>210</v>
      </c>
      <c r="D11" s="33">
        <v>478.27862585141946</v>
      </c>
      <c r="E11" s="33">
        <v>490.4431685408959</v>
      </c>
      <c r="F11" s="33">
        <v>495.00554457991484</v>
      </c>
      <c r="G11" s="33">
        <v>489.9004703026416</v>
      </c>
      <c r="H11" s="33">
        <v>501.5746573437781</v>
      </c>
      <c r="I11" s="44">
        <v>515.40498</v>
      </c>
      <c r="J11" s="44">
        <v>527.86238</v>
      </c>
      <c r="K11" s="44">
        <v>548.28376</v>
      </c>
      <c r="L11" s="44">
        <v>572.7819599999999</v>
      </c>
      <c r="M11" s="44">
        <v>599.96583</v>
      </c>
      <c r="N11" s="44">
        <v>630.263</v>
      </c>
      <c r="O11" s="44">
        <v>653.255</v>
      </c>
      <c r="P11" s="44">
        <v>670.9204199999999</v>
      </c>
      <c r="Q11" s="44">
        <v>691.6946800000001</v>
      </c>
      <c r="R11" s="44">
        <v>714.2912</v>
      </c>
      <c r="S11" s="44">
        <v>740.10802</v>
      </c>
      <c r="T11" s="44">
        <v>768.8900699999999</v>
      </c>
      <c r="U11" s="44">
        <v>797.05235</v>
      </c>
      <c r="V11" s="44">
        <v>806.2883700000002</v>
      </c>
      <c r="W11" s="44">
        <v>780.8721792145403</v>
      </c>
      <c r="X11" s="44">
        <v>773.3841493315864</v>
      </c>
    </row>
    <row r="12" spans="1:24" ht="12.75">
      <c r="A12" s="32" t="s">
        <v>75</v>
      </c>
      <c r="B12" s="119" t="s">
        <v>210</v>
      </c>
      <c r="C12" s="119" t="s">
        <v>210</v>
      </c>
      <c r="D12" s="33">
        <v>1185.494</v>
      </c>
      <c r="E12" s="33">
        <v>1197.512</v>
      </c>
      <c r="F12" s="33">
        <v>1213.905</v>
      </c>
      <c r="G12" s="33">
        <v>1202.807</v>
      </c>
      <c r="H12" s="33">
        <v>1229.452</v>
      </c>
      <c r="I12" s="44">
        <v>1255.451</v>
      </c>
      <c r="J12" s="44">
        <v>1269.33</v>
      </c>
      <c r="K12" s="44">
        <v>1297.676</v>
      </c>
      <c r="L12" s="44">
        <v>1343.059</v>
      </c>
      <c r="M12" s="44">
        <v>1387.28</v>
      </c>
      <c r="N12" s="44">
        <v>1441.407</v>
      </c>
      <c r="O12" s="44">
        <v>1467.996</v>
      </c>
      <c r="P12" s="44">
        <v>1483.108</v>
      </c>
      <c r="Q12" s="44">
        <v>1499.115</v>
      </c>
      <c r="R12" s="44">
        <v>1535.979</v>
      </c>
      <c r="S12" s="44">
        <v>1564.994</v>
      </c>
      <c r="T12" s="44">
        <v>1598.8759999999997</v>
      </c>
      <c r="U12" s="44">
        <v>1633.4569999999999</v>
      </c>
      <c r="V12" s="44">
        <v>1645.537709785784</v>
      </c>
      <c r="W12" s="44">
        <v>1596.9776357319845</v>
      </c>
      <c r="X12" s="44">
        <v>1594.0723450536925</v>
      </c>
    </row>
    <row r="13" spans="1:24" ht="12.75">
      <c r="A13" s="32" t="s">
        <v>76</v>
      </c>
      <c r="B13" s="119" t="s">
        <v>210</v>
      </c>
      <c r="C13" s="119" t="s">
        <v>210</v>
      </c>
      <c r="D13" s="33">
        <v>1017.6663000000002</v>
      </c>
      <c r="E13" s="33">
        <v>1033.2746</v>
      </c>
      <c r="F13" s="33">
        <v>1041.2612</v>
      </c>
      <c r="G13" s="33">
        <v>1032.0126</v>
      </c>
      <c r="H13" s="33">
        <v>1054.2204</v>
      </c>
      <c r="I13" s="44">
        <v>1084.0228</v>
      </c>
      <c r="J13" s="44">
        <v>1095.897</v>
      </c>
      <c r="K13" s="44">
        <v>1116.4149</v>
      </c>
      <c r="L13" s="44">
        <v>1132.0595</v>
      </c>
      <c r="M13" s="44">
        <v>1148.636</v>
      </c>
      <c r="N13" s="44">
        <v>1191.0573</v>
      </c>
      <c r="O13" s="44">
        <v>1212.7133000000001</v>
      </c>
      <c r="P13" s="44">
        <v>1218.2196000000001</v>
      </c>
      <c r="Q13" s="44">
        <v>1218.0135</v>
      </c>
      <c r="R13" s="44">
        <v>1236.6712</v>
      </c>
      <c r="S13" s="44">
        <v>1244.7821999999999</v>
      </c>
      <c r="T13" s="44">
        <v>1270.1263999999999</v>
      </c>
      <c r="U13" s="44">
        <v>1289.9884</v>
      </c>
      <c r="V13" s="44">
        <v>1276.5782</v>
      </c>
      <c r="W13" s="44">
        <v>1220.8620046297083</v>
      </c>
      <c r="X13" s="44">
        <v>1222.5365919225799</v>
      </c>
    </row>
    <row r="14" spans="1:24" ht="12.75">
      <c r="A14" s="32" t="s">
        <v>77</v>
      </c>
      <c r="B14" s="119" t="s">
        <v>210</v>
      </c>
      <c r="C14" s="119" t="s">
        <v>210</v>
      </c>
      <c r="D14" s="33">
        <v>6.4521373165770735</v>
      </c>
      <c r="E14" s="33">
        <v>6.499886154798112</v>
      </c>
      <c r="F14" s="33">
        <v>7.129485814885648</v>
      </c>
      <c r="G14" s="33">
        <v>7.179450843910195</v>
      </c>
      <c r="H14" s="33">
        <v>7.602944759271474</v>
      </c>
      <c r="I14" s="44">
        <v>8.357456991920378</v>
      </c>
      <c r="J14" s="44">
        <v>8.51197392386916</v>
      </c>
      <c r="K14" s="44">
        <v>8.711871026565836</v>
      </c>
      <c r="L14" s="44">
        <v>9.151232661734879</v>
      </c>
      <c r="M14" s="44">
        <v>9.594785589078615</v>
      </c>
      <c r="N14" s="44">
        <v>10.078619791580595</v>
      </c>
      <c r="O14" s="44">
        <v>10.48030058834212</v>
      </c>
      <c r="P14" s="44">
        <v>10.70074624026509</v>
      </c>
      <c r="Q14" s="44">
        <v>10.904742855015844</v>
      </c>
      <c r="R14" s="44">
        <v>11.36273585466947</v>
      </c>
      <c r="S14" s="44">
        <v>11.811357084229321</v>
      </c>
      <c r="T14" s="44">
        <v>12.300667500594587</v>
      </c>
      <c r="U14" s="44">
        <v>12.847452668046397</v>
      </c>
      <c r="V14" s="44">
        <v>13.317866577356416</v>
      </c>
      <c r="W14" s="44">
        <v>13.353158073290626</v>
      </c>
      <c r="X14" s="44">
        <v>13.446598394308335</v>
      </c>
    </row>
    <row r="15" spans="1:24" ht="12.75">
      <c r="A15" s="32" t="s">
        <v>78</v>
      </c>
      <c r="B15" s="119" t="s">
        <v>210</v>
      </c>
      <c r="C15" s="119" t="s">
        <v>210</v>
      </c>
      <c r="D15" s="33">
        <v>12.283667258151539</v>
      </c>
      <c r="E15" s="33">
        <v>10.735918798239162</v>
      </c>
      <c r="F15" s="33">
        <v>7.289697335524073</v>
      </c>
      <c r="G15" s="33">
        <v>6.4586720932385155</v>
      </c>
      <c r="H15" s="33">
        <v>6.600765056125656</v>
      </c>
      <c r="I15" s="44">
        <v>6.541355576557754</v>
      </c>
      <c r="J15" s="44">
        <v>6.777766201725652</v>
      </c>
      <c r="K15" s="44">
        <v>7.343088183019282</v>
      </c>
      <c r="L15" s="44">
        <v>7.695191777314802</v>
      </c>
      <c r="M15" s="44">
        <v>7.945532050543042</v>
      </c>
      <c r="N15" s="44">
        <v>8.49504683172712</v>
      </c>
      <c r="O15" s="44">
        <v>9.178726117913444</v>
      </c>
      <c r="P15" s="44">
        <v>9.772944519316844</v>
      </c>
      <c r="Q15" s="44">
        <v>10.47570331061278</v>
      </c>
      <c r="R15" s="44">
        <v>11.384527909671732</v>
      </c>
      <c r="S15" s="44">
        <v>12.591561418489782</v>
      </c>
      <c r="T15" s="44">
        <v>14.131905119663145</v>
      </c>
      <c r="U15" s="44">
        <v>15.54194670862121</v>
      </c>
      <c r="V15" s="44">
        <v>14.829800157079218</v>
      </c>
      <c r="W15" s="44">
        <v>12.887780123076714</v>
      </c>
      <c r="X15" s="44">
        <v>12.474185805097102</v>
      </c>
    </row>
    <row r="16" spans="1:24" ht="12.75">
      <c r="A16" s="32" t="s">
        <v>79</v>
      </c>
      <c r="B16" s="119" t="s">
        <v>210</v>
      </c>
      <c r="C16" s="119" t="s">
        <v>210</v>
      </c>
      <c r="D16" s="33">
        <v>16.95982900968831</v>
      </c>
      <c r="E16" s="33">
        <v>15.997157643004886</v>
      </c>
      <c r="F16" s="33">
        <v>12.596426854868263</v>
      </c>
      <c r="G16" s="33">
        <v>10.552337907175957</v>
      </c>
      <c r="H16" s="33">
        <v>9.521796174261295</v>
      </c>
      <c r="I16" s="44">
        <v>9.83507538343181</v>
      </c>
      <c r="J16" s="44">
        <v>10.335402890110343</v>
      </c>
      <c r="K16" s="44">
        <v>11.212256072831197</v>
      </c>
      <c r="L16" s="44">
        <v>12.052063694978045</v>
      </c>
      <c r="M16" s="44">
        <v>11.87516566312465</v>
      </c>
      <c r="N16" s="44">
        <v>12.377414591967515</v>
      </c>
      <c r="O16" s="44">
        <v>13.211135906441708</v>
      </c>
      <c r="P16" s="44">
        <v>14.117873969388933</v>
      </c>
      <c r="Q16" s="44">
        <v>15.564477535945528</v>
      </c>
      <c r="R16" s="44">
        <v>16.70860595418181</v>
      </c>
      <c r="S16" s="44">
        <v>18.012266536625685</v>
      </c>
      <c r="T16" s="44">
        <v>19.42527769004727</v>
      </c>
      <c r="U16" s="44">
        <v>21.15892819681311</v>
      </c>
      <c r="V16" s="44">
        <v>21.797205696205506</v>
      </c>
      <c r="W16" s="44">
        <v>19.403476063574324</v>
      </c>
      <c r="X16" s="44">
        <v>18.48500788996793</v>
      </c>
    </row>
    <row r="17" spans="1:24" ht="12.75">
      <c r="A17" s="32" t="s">
        <v>80</v>
      </c>
      <c r="B17" s="119" t="s">
        <v>210</v>
      </c>
      <c r="C17" s="119" t="s">
        <v>210</v>
      </c>
      <c r="D17" s="33">
        <v>13.460324829631235</v>
      </c>
      <c r="E17" s="33">
        <v>14.62383866758962</v>
      </c>
      <c r="F17" s="33">
        <v>14.889938467487129</v>
      </c>
      <c r="G17" s="33">
        <v>15.515473151845747</v>
      </c>
      <c r="H17" s="33">
        <v>16.10825611756251</v>
      </c>
      <c r="I17" s="44">
        <v>16.339</v>
      </c>
      <c r="J17" s="44">
        <v>16.587</v>
      </c>
      <c r="K17" s="44">
        <v>17.5721</v>
      </c>
      <c r="L17" s="44">
        <v>18.7125</v>
      </c>
      <c r="M17" s="44">
        <v>20.2877</v>
      </c>
      <c r="N17" s="44">
        <v>22.0006</v>
      </c>
      <c r="O17" s="44">
        <v>22.554400000000005</v>
      </c>
      <c r="P17" s="44">
        <v>23.480300000000003</v>
      </c>
      <c r="Q17" s="44">
        <v>23.843700000000005</v>
      </c>
      <c r="R17" s="44">
        <v>24.928000000000004</v>
      </c>
      <c r="S17" s="44">
        <v>26.220700000000004</v>
      </c>
      <c r="T17" s="44">
        <v>27.910200000000007</v>
      </c>
      <c r="U17" s="44">
        <v>29.361700000000003</v>
      </c>
      <c r="V17" s="44">
        <v>29.088000000000005</v>
      </c>
      <c r="W17" s="44">
        <v>28.229176000000002</v>
      </c>
      <c r="X17" s="44">
        <v>28.264739000000002</v>
      </c>
    </row>
    <row r="18" spans="1:24" ht="12.75">
      <c r="A18" s="32" t="s">
        <v>127</v>
      </c>
      <c r="B18" s="119" t="s">
        <v>210</v>
      </c>
      <c r="C18" s="119" t="s">
        <v>210</v>
      </c>
      <c r="D18" s="33">
        <v>42.05766300177991</v>
      </c>
      <c r="E18" s="33">
        <v>42.05766300177991</v>
      </c>
      <c r="F18" s="33">
        <v>41.17531667617113</v>
      </c>
      <c r="G18" s="33">
        <v>40.928263603514296</v>
      </c>
      <c r="H18" s="33">
        <v>42.11518587494433</v>
      </c>
      <c r="I18" s="44">
        <v>42.74691259706867</v>
      </c>
      <c r="J18" s="44">
        <v>43.31117599770358</v>
      </c>
      <c r="K18" s="44">
        <v>45.288849321604935</v>
      </c>
      <c r="L18" s="44">
        <v>47.489857983588166</v>
      </c>
      <c r="M18" s="44">
        <v>49.46239166549842</v>
      </c>
      <c r="N18" s="44">
        <v>52.036564224602884</v>
      </c>
      <c r="O18" s="44">
        <v>54.164604564871475</v>
      </c>
      <c r="P18" s="44">
        <v>56.411333716189745</v>
      </c>
      <c r="Q18" s="44">
        <v>58.79679534431845</v>
      </c>
      <c r="R18" s="44">
        <v>61.64129192074024</v>
      </c>
      <c r="S18" s="44">
        <v>64.0844689978692</v>
      </c>
      <c r="T18" s="44">
        <v>66.72083608775964</v>
      </c>
      <c r="U18" s="44">
        <v>67.43671536174357</v>
      </c>
      <c r="V18" s="44">
        <v>67.7586217880568</v>
      </c>
      <c r="W18" s="44">
        <v>63.45865955349559</v>
      </c>
      <c r="X18" s="44">
        <v>63.289008570402046</v>
      </c>
    </row>
    <row r="19" spans="1:24" ht="12.75">
      <c r="A19" s="32" t="s">
        <v>128</v>
      </c>
      <c r="B19" s="119" t="s">
        <v>210</v>
      </c>
      <c r="C19" s="119" t="s">
        <v>210</v>
      </c>
      <c r="D19" s="33">
        <v>2.7517249334517278</v>
      </c>
      <c r="E19" s="33">
        <v>2.7517249334517278</v>
      </c>
      <c r="F19" s="33">
        <v>2.8806797641132187</v>
      </c>
      <c r="G19" s="33">
        <v>3.009929685920388</v>
      </c>
      <c r="H19" s="33">
        <v>3.1819678238509357</v>
      </c>
      <c r="I19" s="44">
        <v>3.380328091976003</v>
      </c>
      <c r="J19" s="44">
        <v>3.515125727321928</v>
      </c>
      <c r="K19" s="44">
        <v>3.685776936867786</v>
      </c>
      <c r="L19" s="44">
        <v>3.811987419874468</v>
      </c>
      <c r="M19" s="44">
        <v>3.9667332166682576</v>
      </c>
      <c r="N19" s="44">
        <v>4.221131293357667</v>
      </c>
      <c r="O19" s="44">
        <v>4.152895343831235</v>
      </c>
      <c r="P19" s="44">
        <v>4.261703158722986</v>
      </c>
      <c r="Q19" s="44">
        <v>4.248646645883504</v>
      </c>
      <c r="R19" s="44">
        <v>4.302126292453029</v>
      </c>
      <c r="S19" s="44">
        <v>4.463032674443896</v>
      </c>
      <c r="T19" s="44">
        <v>4.604476459590233</v>
      </c>
      <c r="U19" s="44">
        <v>4.771406472809729</v>
      </c>
      <c r="V19" s="44">
        <v>4.8456979246294924</v>
      </c>
      <c r="W19" s="44">
        <v>4.799790843033103</v>
      </c>
      <c r="X19" s="44">
        <v>4.810037390334713</v>
      </c>
    </row>
    <row r="20" spans="1:24" ht="12.75">
      <c r="A20" s="32" t="s">
        <v>81</v>
      </c>
      <c r="B20" s="119" t="s">
        <v>210</v>
      </c>
      <c r="C20" s="119" t="s">
        <v>210</v>
      </c>
      <c r="D20" s="33">
        <v>306.035</v>
      </c>
      <c r="E20" s="33">
        <v>313.5</v>
      </c>
      <c r="F20" s="33">
        <v>318.84899999999993</v>
      </c>
      <c r="G20" s="33">
        <v>322.859</v>
      </c>
      <c r="H20" s="33">
        <v>332.419</v>
      </c>
      <c r="I20" s="44">
        <v>342.777</v>
      </c>
      <c r="J20" s="44">
        <v>354.454</v>
      </c>
      <c r="K20" s="44">
        <v>369.618</v>
      </c>
      <c r="L20" s="44">
        <v>384.12</v>
      </c>
      <c r="M20" s="44">
        <v>402.113</v>
      </c>
      <c r="N20" s="44">
        <v>417.96</v>
      </c>
      <c r="O20" s="44">
        <v>426.009</v>
      </c>
      <c r="P20" s="44">
        <v>426.334</v>
      </c>
      <c r="Q20" s="44">
        <v>427.765</v>
      </c>
      <c r="R20" s="44">
        <v>437.33200000000005</v>
      </c>
      <c r="S20" s="44">
        <v>446.28200000000004</v>
      </c>
      <c r="T20" s="44">
        <v>461.34900000000005</v>
      </c>
      <c r="U20" s="44">
        <v>477.31500000000005</v>
      </c>
      <c r="V20" s="44">
        <v>487.42400000000004</v>
      </c>
      <c r="W20" s="44">
        <v>470.6078236353362</v>
      </c>
      <c r="X20" s="44">
        <v>468.6587897214905</v>
      </c>
    </row>
    <row r="21" spans="1:24" ht="12.75">
      <c r="A21" s="32" t="s">
        <v>82</v>
      </c>
      <c r="B21" s="119" t="s">
        <v>210</v>
      </c>
      <c r="C21" s="119" t="s">
        <v>210</v>
      </c>
      <c r="D21" s="33">
        <v>161.72705</v>
      </c>
      <c r="E21" s="33">
        <v>167.12592</v>
      </c>
      <c r="F21" s="33">
        <v>170.28091</v>
      </c>
      <c r="G21" s="33">
        <v>170.91832</v>
      </c>
      <c r="H21" s="33">
        <v>174.70062</v>
      </c>
      <c r="I21" s="44">
        <v>179.13647</v>
      </c>
      <c r="J21" s="44">
        <v>183.13106000000002</v>
      </c>
      <c r="K21" s="44">
        <v>187.02372000000003</v>
      </c>
      <c r="L21" s="44">
        <v>193.74765000000005</v>
      </c>
      <c r="M21" s="44">
        <v>200.21879000000004</v>
      </c>
      <c r="N21" s="44">
        <v>207.52881</v>
      </c>
      <c r="O21" s="44">
        <v>208.60815</v>
      </c>
      <c r="P21" s="44">
        <v>212.04478999999998</v>
      </c>
      <c r="Q21" s="44">
        <v>213.7435</v>
      </c>
      <c r="R21" s="44">
        <v>219.18239</v>
      </c>
      <c r="S21" s="44">
        <v>225.48271999999997</v>
      </c>
      <c r="T21" s="44">
        <v>233.09106999999997</v>
      </c>
      <c r="U21" s="44">
        <v>240.23579</v>
      </c>
      <c r="V21" s="44">
        <v>244.47154999999995</v>
      </c>
      <c r="W21" s="44">
        <v>234.67208149363924</v>
      </c>
      <c r="X21" s="44">
        <v>234.44050761033677</v>
      </c>
    </row>
    <row r="22" spans="1:24" ht="12.75">
      <c r="A22" s="32" t="s">
        <v>83</v>
      </c>
      <c r="B22" s="119" t="s">
        <v>210</v>
      </c>
      <c r="C22" s="119" t="s">
        <v>210</v>
      </c>
      <c r="D22" s="33">
        <v>128.13248258693773</v>
      </c>
      <c r="E22" s="33">
        <v>119.1432440800434</v>
      </c>
      <c r="F22" s="33">
        <v>122.13967378660881</v>
      </c>
      <c r="G22" s="33">
        <v>126.70563178423114</v>
      </c>
      <c r="H22" s="33">
        <v>133.41190394551475</v>
      </c>
      <c r="I22" s="44">
        <v>142.68652273551078</v>
      </c>
      <c r="J22" s="44">
        <v>151.58861738819587</v>
      </c>
      <c r="K22" s="44">
        <v>162.33061199599814</v>
      </c>
      <c r="L22" s="44">
        <v>170.41732935703396</v>
      </c>
      <c r="M22" s="44">
        <v>178.12734853182414</v>
      </c>
      <c r="N22" s="44">
        <v>185.71522215896974</v>
      </c>
      <c r="O22" s="44">
        <v>187.95365071705487</v>
      </c>
      <c r="P22" s="44">
        <v>190.66675985634959</v>
      </c>
      <c r="Q22" s="44">
        <v>198.04014652056765</v>
      </c>
      <c r="R22" s="44">
        <v>208.62499705663612</v>
      </c>
      <c r="S22" s="44">
        <v>216.17106605948473</v>
      </c>
      <c r="T22" s="44">
        <v>229.63309067240883</v>
      </c>
      <c r="U22" s="44">
        <v>244.89262930334215</v>
      </c>
      <c r="V22" s="44">
        <v>256.5577187161633</v>
      </c>
      <c r="W22" s="44">
        <v>253.0453256592142</v>
      </c>
      <c r="X22" s="44">
        <v>255.0985516435845</v>
      </c>
    </row>
    <row r="23" spans="1:24" ht="12.75">
      <c r="A23" s="32" t="s">
        <v>84</v>
      </c>
      <c r="B23" s="119" t="s">
        <v>210</v>
      </c>
      <c r="C23" s="119" t="s">
        <v>210</v>
      </c>
      <c r="D23" s="33">
        <v>91.98493955503163</v>
      </c>
      <c r="E23" s="33">
        <v>96.00303104936195</v>
      </c>
      <c r="F23" s="33">
        <v>97.04896206691744</v>
      </c>
      <c r="G23" s="33">
        <v>95.06597790898321</v>
      </c>
      <c r="H23" s="33">
        <v>95.98321705897492</v>
      </c>
      <c r="I23" s="44">
        <v>100.0939637258526</v>
      </c>
      <c r="J23" s="44">
        <v>103.71606965060928</v>
      </c>
      <c r="K23" s="44">
        <v>108.05737675177882</v>
      </c>
      <c r="L23" s="44">
        <v>113.30028532771733</v>
      </c>
      <c r="M23" s="44">
        <v>117.6526924470434</v>
      </c>
      <c r="N23" s="44">
        <v>122.2702</v>
      </c>
      <c r="O23" s="44">
        <v>124.73550403255092</v>
      </c>
      <c r="P23" s="44">
        <v>125.68260558174532</v>
      </c>
      <c r="Q23" s="44">
        <v>124.67050392622885</v>
      </c>
      <c r="R23" s="44">
        <v>126.55980701660262</v>
      </c>
      <c r="S23" s="44">
        <v>127.71140890030262</v>
      </c>
      <c r="T23" s="44">
        <v>129.4584117579128</v>
      </c>
      <c r="U23" s="44">
        <v>131.96521585834628</v>
      </c>
      <c r="V23" s="44">
        <v>131.95811584673262</v>
      </c>
      <c r="W23" s="44">
        <v>127.13343410672954</v>
      </c>
      <c r="X23" s="44">
        <v>126.16510540586056</v>
      </c>
    </row>
    <row r="24" spans="1:24" ht="12.75">
      <c r="A24" s="32" t="s">
        <v>85</v>
      </c>
      <c r="B24" s="119" t="s">
        <v>210</v>
      </c>
      <c r="C24" s="119" t="s">
        <v>210</v>
      </c>
      <c r="D24" s="33">
        <v>48.29139558008248</v>
      </c>
      <c r="E24" s="33">
        <v>41.97449699634703</v>
      </c>
      <c r="F24" s="33">
        <v>38.31263590590201</v>
      </c>
      <c r="G24" s="33">
        <v>38.89537504495009</v>
      </c>
      <c r="H24" s="33">
        <v>40.425762451582926</v>
      </c>
      <c r="I24" s="44">
        <v>43.311871092839645</v>
      </c>
      <c r="J24" s="44">
        <v>45.02187807792199</v>
      </c>
      <c r="K24" s="44">
        <v>42.296663863329385</v>
      </c>
      <c r="L24" s="44">
        <v>40.25902134548518</v>
      </c>
      <c r="M24" s="44">
        <v>39.79604037056921</v>
      </c>
      <c r="N24" s="44">
        <v>40.65125437224132</v>
      </c>
      <c r="O24" s="44">
        <v>42.95978116447018</v>
      </c>
      <c r="P24" s="44">
        <v>45.14084624343836</v>
      </c>
      <c r="Q24" s="44">
        <v>47.504744588295445</v>
      </c>
      <c r="R24" s="44">
        <v>51.538016933517035</v>
      </c>
      <c r="S24" s="44">
        <v>53.67872557969802</v>
      </c>
      <c r="T24" s="44">
        <v>57.90581844852861</v>
      </c>
      <c r="U24" s="44">
        <v>61.52305665524464</v>
      </c>
      <c r="V24" s="44">
        <v>65.87592080884689</v>
      </c>
      <c r="W24" s="44">
        <v>63.23077982127814</v>
      </c>
      <c r="X24" s="44">
        <v>63.231007592694446</v>
      </c>
    </row>
    <row r="25" spans="1:24" ht="12.75">
      <c r="A25" s="32" t="s">
        <v>86</v>
      </c>
      <c r="B25" s="119" t="s">
        <v>210</v>
      </c>
      <c r="C25" s="119" t="s">
        <v>210</v>
      </c>
      <c r="D25" s="33">
        <v>17.83117534822838</v>
      </c>
      <c r="E25" s="33">
        <v>16.244181471548682</v>
      </c>
      <c r="F25" s="33">
        <v>15.356648147964922</v>
      </c>
      <c r="G25" s="33">
        <v>15.79330198313524</v>
      </c>
      <c r="H25" s="33">
        <v>16.634688426234497</v>
      </c>
      <c r="I25" s="44">
        <v>17.317901516980942</v>
      </c>
      <c r="J25" s="44">
        <v>17.936647367750798</v>
      </c>
      <c r="K25" s="44">
        <v>18.816777298093065</v>
      </c>
      <c r="L25" s="44">
        <v>19.487948425738463</v>
      </c>
      <c r="M25" s="44">
        <v>20.533647123204275</v>
      </c>
      <c r="N25" s="44">
        <v>21.434828353884846</v>
      </c>
      <c r="O25" s="44">
        <v>22.045536435434627</v>
      </c>
      <c r="P25" s="44">
        <v>22.92156049232248</v>
      </c>
      <c r="Q25" s="44">
        <v>23.57143675086534</v>
      </c>
      <c r="R25" s="44">
        <v>24.581829576028245</v>
      </c>
      <c r="S25" s="44">
        <v>25.650794889735725</v>
      </c>
      <c r="T25" s="44">
        <v>27.16487632084427</v>
      </c>
      <c r="U25" s="44">
        <v>29.002463464920243</v>
      </c>
      <c r="V25" s="44">
        <v>30.029326177951116</v>
      </c>
      <c r="W25" s="44">
        <v>29.00520827279617</v>
      </c>
      <c r="X25" s="44">
        <v>29.22057671970282</v>
      </c>
    </row>
    <row r="26" spans="1:24" ht="12.75">
      <c r="A26" s="32" t="s">
        <v>129</v>
      </c>
      <c r="B26" s="119" t="s">
        <v>210</v>
      </c>
      <c r="C26" s="119" t="s">
        <v>210</v>
      </c>
      <c r="D26" s="33">
        <v>15.490670018651501</v>
      </c>
      <c r="E26" s="33">
        <v>15.490670018651501</v>
      </c>
      <c r="F26" s="33">
        <v>15.490670018651501</v>
      </c>
      <c r="G26" s="33">
        <v>16.592027288569223</v>
      </c>
      <c r="H26" s="33">
        <v>17.62164485104034</v>
      </c>
      <c r="I26" s="44">
        <v>18.65136035936411</v>
      </c>
      <c r="J26" s="44">
        <v>19.946017881377145</v>
      </c>
      <c r="K26" s="44">
        <v>20.821978885341498</v>
      </c>
      <c r="L26" s="44">
        <v>21.73623914012502</v>
      </c>
      <c r="M26" s="44">
        <v>21.74305606733877</v>
      </c>
      <c r="N26" s="44">
        <v>22.03829831640649</v>
      </c>
      <c r="O26" s="44">
        <v>22.78779966335478</v>
      </c>
      <c r="P26" s="44">
        <v>23.870545507137066</v>
      </c>
      <c r="Q26" s="44">
        <v>25.000635051848867</v>
      </c>
      <c r="R26" s="44">
        <v>26.289437370819382</v>
      </c>
      <c r="S26" s="44">
        <v>28.010174058195574</v>
      </c>
      <c r="T26" s="44">
        <v>30.38964230235854</v>
      </c>
      <c r="U26" s="44">
        <v>33.55691821579022</v>
      </c>
      <c r="V26" s="44">
        <v>35.701421687617845</v>
      </c>
      <c r="W26" s="44">
        <v>34.78797801404692</v>
      </c>
      <c r="X26" s="44">
        <v>35.028821341549275</v>
      </c>
    </row>
    <row r="27" spans="1:24" ht="12.75">
      <c r="A27" s="32" t="s">
        <v>87</v>
      </c>
      <c r="B27" s="119" t="s">
        <v>210</v>
      </c>
      <c r="C27" s="119" t="s">
        <v>210</v>
      </c>
      <c r="D27" s="33">
        <v>108.559</v>
      </c>
      <c r="E27" s="33">
        <v>101.78</v>
      </c>
      <c r="F27" s="33">
        <v>97.978</v>
      </c>
      <c r="G27" s="33">
        <v>97.077</v>
      </c>
      <c r="H27" s="33">
        <v>100.546</v>
      </c>
      <c r="I27" s="44">
        <v>104.49000000000001</v>
      </c>
      <c r="J27" s="44">
        <v>108.35600000000001</v>
      </c>
      <c r="K27" s="44">
        <v>115.07400000000001</v>
      </c>
      <c r="L27" s="44">
        <v>121.087</v>
      </c>
      <c r="M27" s="44">
        <v>125.835</v>
      </c>
      <c r="N27" s="44">
        <v>132.198</v>
      </c>
      <c r="O27" s="44">
        <v>135.774</v>
      </c>
      <c r="P27" s="44">
        <v>137.91</v>
      </c>
      <c r="Q27" s="44">
        <v>140.407</v>
      </c>
      <c r="R27" s="44">
        <v>145.597</v>
      </c>
      <c r="S27" s="44">
        <v>149.628</v>
      </c>
      <c r="T27" s="44">
        <v>156.994</v>
      </c>
      <c r="U27" s="44">
        <v>163.592</v>
      </c>
      <c r="V27" s="44">
        <v>165.095</v>
      </c>
      <c r="W27" s="44">
        <v>157.41566412660342</v>
      </c>
      <c r="X27" s="44">
        <v>157.73976771584907</v>
      </c>
    </row>
    <row r="28" spans="1:24" ht="12.75">
      <c r="A28" s="32" t="s">
        <v>88</v>
      </c>
      <c r="B28" s="119" t="s">
        <v>210</v>
      </c>
      <c r="C28" s="119" t="s">
        <v>210</v>
      </c>
      <c r="D28" s="33">
        <v>218.6287562363611</v>
      </c>
      <c r="E28" s="33">
        <v>216.17730110902608</v>
      </c>
      <c r="F28" s="33">
        <v>213.57558290114292</v>
      </c>
      <c r="G28" s="33">
        <v>209.18065421901156</v>
      </c>
      <c r="H28" s="33">
        <v>217.43671649492842</v>
      </c>
      <c r="I28" s="44">
        <v>226.07560031490524</v>
      </c>
      <c r="J28" s="44">
        <v>229.37748053640632</v>
      </c>
      <c r="K28" s="44">
        <v>235.02081241650387</v>
      </c>
      <c r="L28" s="44">
        <v>243.98437816466273</v>
      </c>
      <c r="M28" s="44">
        <v>255.19644323238703</v>
      </c>
      <c r="N28" s="44">
        <v>266.4223623429988</v>
      </c>
      <c r="O28" s="44">
        <v>269.240416759047</v>
      </c>
      <c r="P28" s="44">
        <v>275.73263439521196</v>
      </c>
      <c r="Q28" s="44">
        <v>281.00628831039904</v>
      </c>
      <c r="R28" s="44">
        <v>292.6035431346428</v>
      </c>
      <c r="S28" s="44">
        <v>302.25460095976183</v>
      </c>
      <c r="T28" s="44">
        <v>315.0897204365274</v>
      </c>
      <c r="U28" s="44">
        <v>323.1551416094635</v>
      </c>
      <c r="V28" s="44">
        <v>322.41531203715084</v>
      </c>
      <c r="W28" s="44">
        <v>309.4111699622331</v>
      </c>
      <c r="X28" s="44">
        <v>311.77024475253273</v>
      </c>
    </row>
    <row r="29" spans="1:24" ht="12.75">
      <c r="A29" s="32" t="s">
        <v>23</v>
      </c>
      <c r="B29" s="119" t="s">
        <v>210</v>
      </c>
      <c r="C29" s="119" t="s">
        <v>210</v>
      </c>
      <c r="D29" s="33">
        <v>1247.5830949224367</v>
      </c>
      <c r="E29" s="33">
        <v>1230.2112617514306</v>
      </c>
      <c r="F29" s="33">
        <v>1232.0151260540688</v>
      </c>
      <c r="G29" s="33">
        <v>1259.3936431771783</v>
      </c>
      <c r="H29" s="33">
        <v>1313.2978865879509</v>
      </c>
      <c r="I29" s="44">
        <v>1353.2580926148764</v>
      </c>
      <c r="J29" s="44">
        <v>1392.2218639599587</v>
      </c>
      <c r="K29" s="44">
        <v>1438.2650088716398</v>
      </c>
      <c r="L29" s="44">
        <v>1490.1249735421213</v>
      </c>
      <c r="M29" s="44">
        <v>1541.8806074189047</v>
      </c>
      <c r="N29" s="44">
        <v>1602.2457998365278</v>
      </c>
      <c r="O29" s="44">
        <v>1641.6904000569155</v>
      </c>
      <c r="P29" s="44">
        <v>1676.1089776939255</v>
      </c>
      <c r="Q29" s="44">
        <v>1723.3420984699621</v>
      </c>
      <c r="R29" s="44">
        <v>1770.868555100745</v>
      </c>
      <c r="S29" s="44">
        <v>1807.305706789743</v>
      </c>
      <c r="T29" s="44">
        <v>1858.594120155617</v>
      </c>
      <c r="U29" s="44">
        <v>1914.7679363394489</v>
      </c>
      <c r="V29" s="44">
        <v>1928.3037227914326</v>
      </c>
      <c r="W29" s="44">
        <v>1855.5837045651872</v>
      </c>
      <c r="X29" s="44">
        <v>1858.2524539345327</v>
      </c>
    </row>
    <row r="30" spans="1:24" ht="12.75">
      <c r="A30" s="32" t="s">
        <v>89</v>
      </c>
      <c r="B30" s="119" t="s">
        <v>210</v>
      </c>
      <c r="C30" s="119" t="s">
        <v>212</v>
      </c>
      <c r="D30" s="33">
        <v>202.25919141420238</v>
      </c>
      <c r="E30" s="33">
        <v>204.13315452259124</v>
      </c>
      <c r="F30" s="33">
        <v>216.34905701556787</v>
      </c>
      <c r="G30" s="33">
        <v>233.74790480668526</v>
      </c>
      <c r="H30" s="33">
        <v>220.9953844147172</v>
      </c>
      <c r="I30" s="44">
        <v>236.8876594563957</v>
      </c>
      <c r="J30" s="44">
        <v>253.4823880025031</v>
      </c>
      <c r="K30" s="44">
        <v>272.5665888785162</v>
      </c>
      <c r="L30" s="44">
        <v>280.99397731139175</v>
      </c>
      <c r="M30" s="44">
        <v>271.53756347870194</v>
      </c>
      <c r="N30" s="44">
        <v>289.9327543565314</v>
      </c>
      <c r="O30" s="44">
        <v>273.413903903583</v>
      </c>
      <c r="P30" s="44">
        <v>290.2666984858562</v>
      </c>
      <c r="Q30" s="44">
        <v>305.55001040764387</v>
      </c>
      <c r="R30" s="44">
        <v>334.15806986870814</v>
      </c>
      <c r="S30" s="44">
        <v>362.23275394256075</v>
      </c>
      <c r="T30" s="44">
        <v>387.20323025231863</v>
      </c>
      <c r="U30" s="44">
        <v>405.28012049909455</v>
      </c>
      <c r="V30" s="44">
        <v>409.5767829026154</v>
      </c>
      <c r="W30" s="44">
        <v>394.48715787648075</v>
      </c>
      <c r="X30" s="44">
        <v>402.973435950043</v>
      </c>
    </row>
    <row r="31" spans="1:24" ht="12.75">
      <c r="A31" s="32" t="s">
        <v>92</v>
      </c>
      <c r="B31" s="119" t="s">
        <v>210</v>
      </c>
      <c r="C31" s="119" t="s">
        <v>212</v>
      </c>
      <c r="D31" s="33">
        <v>243.66600756886027</v>
      </c>
      <c r="E31" s="33">
        <v>241.36044563688895</v>
      </c>
      <c r="F31" s="33">
        <v>241.60137247455728</v>
      </c>
      <c r="G31" s="33">
        <v>241.15370674948898</v>
      </c>
      <c r="H31" s="33">
        <v>244.0254175432265</v>
      </c>
      <c r="I31" s="44">
        <v>244.88008420460042</v>
      </c>
      <c r="J31" s="44">
        <v>246.41897204415733</v>
      </c>
      <c r="K31" s="44">
        <v>251.53380650620485</v>
      </c>
      <c r="L31" s="44">
        <v>258.17074294788597</v>
      </c>
      <c r="M31" s="44">
        <v>261.55570949219714</v>
      </c>
      <c r="N31" s="44">
        <v>270.92490891844767</v>
      </c>
      <c r="O31" s="44">
        <v>274.0461737757567</v>
      </c>
      <c r="P31" s="44">
        <v>275.2605842029752</v>
      </c>
      <c r="Q31" s="44">
        <v>274.71613820637185</v>
      </c>
      <c r="R31" s="44">
        <v>281.6738610969282</v>
      </c>
      <c r="S31" s="44">
        <v>288.7252574306437</v>
      </c>
      <c r="T31" s="44">
        <v>298.4943454670831</v>
      </c>
      <c r="U31" s="44">
        <v>308.4221513515013</v>
      </c>
      <c r="V31" s="44">
        <v>313.4563944287162</v>
      </c>
      <c r="W31" s="44">
        <v>303.44268840925963</v>
      </c>
      <c r="X31" s="44">
        <v>301.99154397943124</v>
      </c>
    </row>
    <row r="32" spans="1:24" ht="12.75">
      <c r="A32" s="32" t="s">
        <v>91</v>
      </c>
      <c r="B32" s="119" t="s">
        <v>210</v>
      </c>
      <c r="C32" s="119" t="s">
        <v>212</v>
      </c>
      <c r="D32" s="33">
        <v>126.89933454707031</v>
      </c>
      <c r="E32" s="33">
        <v>130.83916196225954</v>
      </c>
      <c r="F32" s="33">
        <v>135.44878530637203</v>
      </c>
      <c r="G32" s="33">
        <v>139.22322218467696</v>
      </c>
      <c r="H32" s="33">
        <v>146.25588222205047</v>
      </c>
      <c r="I32" s="44">
        <v>152.37873406829988</v>
      </c>
      <c r="J32" s="44">
        <v>160.14967340193374</v>
      </c>
      <c r="K32" s="44">
        <v>168.7858623642504</v>
      </c>
      <c r="L32" s="44">
        <v>173.3140723460048</v>
      </c>
      <c r="M32" s="44">
        <v>176.82507752403467</v>
      </c>
      <c r="N32" s="44">
        <v>182.5780624869716</v>
      </c>
      <c r="O32" s="44">
        <v>186.21164993429002</v>
      </c>
      <c r="P32" s="44">
        <v>189.00875668369682</v>
      </c>
      <c r="Q32" s="44">
        <v>190.92447904418964</v>
      </c>
      <c r="R32" s="44">
        <v>198.30198414419633</v>
      </c>
      <c r="S32" s="44">
        <v>203.7338762851154</v>
      </c>
      <c r="T32" s="44">
        <v>208.3808104918862</v>
      </c>
      <c r="U32" s="44">
        <v>214.9118015136694</v>
      </c>
      <c r="V32" s="44">
        <v>219.23829617748436</v>
      </c>
      <c r="W32" s="44">
        <v>211.81277626574087</v>
      </c>
      <c r="X32" s="44">
        <v>212.24998761099937</v>
      </c>
    </row>
    <row r="33" spans="1:24" s="26" customFormat="1" ht="12.75">
      <c r="A33" s="34" t="s">
        <v>90</v>
      </c>
      <c r="B33" s="120" t="s">
        <v>210</v>
      </c>
      <c r="C33" s="119" t="s">
        <v>212</v>
      </c>
      <c r="D33" s="35">
        <v>7.325338818987641</v>
      </c>
      <c r="E33" s="35">
        <v>7.308944224962347</v>
      </c>
      <c r="F33" s="35">
        <v>7.062350243064241</v>
      </c>
      <c r="G33" s="35">
        <v>7.155110580519961</v>
      </c>
      <c r="H33" s="35">
        <v>7.413318547933465</v>
      </c>
      <c r="I33" s="45">
        <v>7.421970484948493</v>
      </c>
      <c r="J33" s="45">
        <v>7.77711321165777</v>
      </c>
      <c r="K33" s="45">
        <v>8.159217468205284</v>
      </c>
      <c r="L33" s="45">
        <v>8.674613907269373</v>
      </c>
      <c r="M33" s="45">
        <v>9.029729080039113</v>
      </c>
      <c r="N33" s="45">
        <v>9.419961748750428</v>
      </c>
      <c r="O33" s="45">
        <v>9.78939119311032</v>
      </c>
      <c r="P33" s="45">
        <v>9.803002839242245</v>
      </c>
      <c r="Q33" s="45">
        <v>10.039222762904178</v>
      </c>
      <c r="R33" s="45">
        <v>10.81266184574454</v>
      </c>
      <c r="S33" s="45">
        <v>11.61660313965381</v>
      </c>
      <c r="T33" s="45">
        <v>12.134782526611268</v>
      </c>
      <c r="U33" s="45">
        <v>12.803888617389818</v>
      </c>
      <c r="V33" s="45">
        <v>12.84819535216742</v>
      </c>
      <c r="W33" s="45">
        <v>11.353330569378352</v>
      </c>
      <c r="X33" s="45">
        <v>11.559364535337082</v>
      </c>
    </row>
    <row r="34" spans="1:24" s="26" customFormat="1" ht="12.75">
      <c r="A34" s="34"/>
      <c r="B34" s="121">
        <f>COUNTIF(B3:B33,"Y")</f>
        <v>31</v>
      </c>
      <c r="C34" s="121">
        <f>COUNTIF(C3:C33,"Y")</f>
        <v>27</v>
      </c>
      <c r="D34" s="35"/>
      <c r="E34" s="35"/>
      <c r="F34" s="35"/>
      <c r="G34" s="35"/>
      <c r="H34" s="3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s="26" customFormat="1" ht="12.75">
      <c r="A35" s="36" t="s">
        <v>135</v>
      </c>
      <c r="B35" s="36"/>
      <c r="C35" s="36"/>
      <c r="D35" s="35">
        <f>D4+D5+D6+D7+D8+D9+D11+D12+D13+D15+D16+D17+D18+D19+D21+D22+D23+D24+D25+D26+D27+D28+D29+D30+D31+D32+D33</f>
        <v>7328.354526670233</v>
      </c>
      <c r="E35" s="35">
        <f aca="true" t="shared" si="0" ref="E35:W35">E4+E5+E6+E7+E8+E9+E11+E12+E13+E15+E16+E17+E18+E19+E21+E22+E23+E24+E25+E26+E27+E28+E29+E30+E31+E32+E33</f>
        <v>7417.568871425792</v>
      </c>
      <c r="F35" s="35">
        <f t="shared" si="0"/>
        <v>7496.354642118331</v>
      </c>
      <c r="G35" s="35">
        <f t="shared" si="0"/>
        <v>7503.529273839978</v>
      </c>
      <c r="H35" s="35">
        <f t="shared" si="0"/>
        <v>7702.672580641531</v>
      </c>
      <c r="I35" s="45">
        <f t="shared" si="0"/>
        <v>7920.268301326185</v>
      </c>
      <c r="J35" s="45">
        <f t="shared" si="0"/>
        <v>8082.615882492214</v>
      </c>
      <c r="K35" s="45">
        <f t="shared" si="0"/>
        <v>8312.700494144205</v>
      </c>
      <c r="L35" s="45">
        <f>L4+L5+L6+L7+L8+L9+L11+L12+L13+L15+L16+L17+L18+L19+L21+L22+L23+L24+L25+L26+L27+L28+L29+L30+L31+L32+L33</f>
        <v>8558.935608373555</v>
      </c>
      <c r="M35" s="45">
        <f t="shared" si="0"/>
        <v>8789.272398336154</v>
      </c>
      <c r="N35" s="45">
        <f t="shared" si="0"/>
        <v>9137.462451594623</v>
      </c>
      <c r="O35" s="45">
        <f t="shared" si="0"/>
        <v>9294.135043588873</v>
      </c>
      <c r="P35" s="45">
        <f t="shared" si="0"/>
        <v>9422.65858796187</v>
      </c>
      <c r="Q35" s="45">
        <f t="shared" si="0"/>
        <v>9553.2461231204</v>
      </c>
      <c r="R35" s="45">
        <f t="shared" si="0"/>
        <v>9809.284598272092</v>
      </c>
      <c r="S35" s="45">
        <f t="shared" si="0"/>
        <v>10025.160683962327</v>
      </c>
      <c r="T35" s="45">
        <f t="shared" si="0"/>
        <v>10346.910786846254</v>
      </c>
      <c r="U35" s="45">
        <f t="shared" si="0"/>
        <v>10646.778814763678</v>
      </c>
      <c r="V35" s="45">
        <f t="shared" si="0"/>
        <v>10733.04355535495</v>
      </c>
      <c r="W35" s="45">
        <f t="shared" si="0"/>
        <v>10298.438200924234</v>
      </c>
      <c r="X35" s="45">
        <f>X4+X5+X6+X7+X8+X9+X11+X12+X13+X15+X16+X17+X18+X19+X21+X22+X23+X24+X25+X26+X27+X28+X29+X30+X31+X32+X33</f>
        <v>10305.124247926133</v>
      </c>
    </row>
    <row r="36" spans="1:24" s="26" customFormat="1" ht="12.75">
      <c r="A36" s="36" t="s">
        <v>136</v>
      </c>
      <c r="B36" s="36"/>
      <c r="C36" s="36"/>
      <c r="D36" s="35">
        <f>D4+D5+D6+D7+D8+D9+D11+D12+D13+D15+D16+D17+D18+D19+D21+D22+D23+D24+D25+D26+D27+D28+D29</f>
        <v>6748.204654321113</v>
      </c>
      <c r="E36" s="35">
        <f aca="true" t="shared" si="1" ref="E36:W36">E4+E5+E6+E7+E8+E9+E11+E12+E13+E15+E16+E17+E18+E19+E21+E22+E23+E24+E25+E26+E27+E28+E29</f>
        <v>6833.92716507909</v>
      </c>
      <c r="F36" s="35">
        <f t="shared" si="1"/>
        <v>6895.893077078769</v>
      </c>
      <c r="G36" s="35">
        <f t="shared" si="1"/>
        <v>6882.249329518606</v>
      </c>
      <c r="H36" s="35">
        <f t="shared" si="1"/>
        <v>7083.982577913603</v>
      </c>
      <c r="I36" s="45">
        <f t="shared" si="1"/>
        <v>7278.699853111941</v>
      </c>
      <c r="J36" s="45">
        <f t="shared" si="1"/>
        <v>7414.787735831962</v>
      </c>
      <c r="K36" s="45">
        <f t="shared" si="1"/>
        <v>7611.655018927028</v>
      </c>
      <c r="L36" s="45">
        <f t="shared" si="1"/>
        <v>7837.782201861001</v>
      </c>
      <c r="M36" s="45">
        <f t="shared" si="1"/>
        <v>8070.324318761182</v>
      </c>
      <c r="N36" s="45">
        <f t="shared" si="1"/>
        <v>8384.606764083925</v>
      </c>
      <c r="O36" s="45">
        <f t="shared" si="1"/>
        <v>8550.673924782133</v>
      </c>
      <c r="P36" s="45">
        <f t="shared" si="1"/>
        <v>8658.319545750099</v>
      </c>
      <c r="Q36" s="45">
        <f t="shared" si="1"/>
        <v>8772.016272699291</v>
      </c>
      <c r="R36" s="45">
        <f t="shared" si="1"/>
        <v>8984.338021316515</v>
      </c>
      <c r="S36" s="45">
        <f t="shared" si="1"/>
        <v>9158.852193164354</v>
      </c>
      <c r="T36" s="45">
        <f t="shared" si="1"/>
        <v>9440.697618108356</v>
      </c>
      <c r="U36" s="45">
        <f t="shared" si="1"/>
        <v>9705.360852782023</v>
      </c>
      <c r="V36" s="45">
        <f t="shared" si="1"/>
        <v>9777.923886493967</v>
      </c>
      <c r="W36" s="45">
        <f t="shared" si="1"/>
        <v>9377.342247803375</v>
      </c>
      <c r="X36" s="45">
        <f>X4+X5+X6+X7+X8+X9+X11+X12+X13+X15+X16+X17+X18+X19+X21+X22+X23+X24+X25+X26+X27+X28+X29</f>
        <v>9376.349915850322</v>
      </c>
    </row>
    <row r="37" spans="1:24" s="26" customFormat="1" ht="12.75">
      <c r="A37" s="36" t="s">
        <v>34</v>
      </c>
      <c r="B37" s="36"/>
      <c r="C37" s="36"/>
      <c r="D37" s="35">
        <f>SUM(D3:D33)</f>
        <v>7953.838391110649</v>
      </c>
      <c r="E37" s="35">
        <f aca="true" t="shared" si="2" ref="E37:X37">SUM(E3:E33)</f>
        <v>8057.69132374931</v>
      </c>
      <c r="F37" s="35">
        <f t="shared" si="2"/>
        <v>8146.415185627414</v>
      </c>
      <c r="G37" s="35">
        <f t="shared" si="2"/>
        <v>8153.808458832864</v>
      </c>
      <c r="H37" s="35">
        <f t="shared" si="2"/>
        <v>8371.89734480315</v>
      </c>
      <c r="I37" s="35">
        <f t="shared" si="2"/>
        <v>8608.1313100955</v>
      </c>
      <c r="J37" s="35">
        <f t="shared" si="2"/>
        <v>8787.688989123579</v>
      </c>
      <c r="K37" s="35">
        <f t="shared" si="2"/>
        <v>9045.30165020767</v>
      </c>
      <c r="L37" s="35">
        <f t="shared" si="2"/>
        <v>9314.512831913404</v>
      </c>
      <c r="M37" s="35">
        <f t="shared" si="2"/>
        <v>9575.670913234017</v>
      </c>
      <c r="N37" s="35">
        <f t="shared" si="2"/>
        <v>9955.190872390347</v>
      </c>
      <c r="O37" s="35">
        <f t="shared" si="2"/>
        <v>10128.101733602465</v>
      </c>
      <c r="P37" s="35">
        <f t="shared" si="2"/>
        <v>10265.942879158458</v>
      </c>
      <c r="Q37" s="35">
        <f t="shared" si="2"/>
        <v>10409.017394433271</v>
      </c>
      <c r="R37" s="35">
        <f t="shared" si="2"/>
        <v>10690.513104890393</v>
      </c>
      <c r="S37" s="35">
        <f t="shared" si="2"/>
        <v>10925.509766749201</v>
      </c>
      <c r="T37" s="35">
        <f t="shared" si="2"/>
        <v>11278.585800728402</v>
      </c>
      <c r="U37" s="35">
        <f t="shared" si="2"/>
        <v>11609.858733981613</v>
      </c>
      <c r="V37" s="35">
        <f t="shared" si="2"/>
        <v>11715.490539923316</v>
      </c>
      <c r="W37" s="35">
        <f t="shared" si="2"/>
        <v>11252.403041942453</v>
      </c>
      <c r="X37" s="35">
        <f t="shared" si="2"/>
        <v>11256.626932861936</v>
      </c>
    </row>
    <row r="38" spans="1:24" s="26" customFormat="1" ht="12.75">
      <c r="A38" s="36" t="s">
        <v>130</v>
      </c>
      <c r="B38" s="36"/>
      <c r="C38" s="36"/>
      <c r="D38" s="35">
        <v>7373.688518761529</v>
      </c>
      <c r="E38" s="35">
        <v>7474.0496174026075</v>
      </c>
      <c r="F38" s="35">
        <v>7545.953620587852</v>
      </c>
      <c r="G38" s="35">
        <v>7532.528514511492</v>
      </c>
      <c r="H38" s="35">
        <v>7753.207342075222</v>
      </c>
      <c r="I38" s="45">
        <v>7966.562861881254</v>
      </c>
      <c r="J38" s="45">
        <v>8119.860842463328</v>
      </c>
      <c r="K38" s="45">
        <v>8344.256174990494</v>
      </c>
      <c r="L38" s="45">
        <v>8593.359425400851</v>
      </c>
      <c r="M38" s="45">
        <v>8856.722833659045</v>
      </c>
      <c r="N38" s="45">
        <v>9202.335184879646</v>
      </c>
      <c r="O38" s="45">
        <v>9384.640614795726</v>
      </c>
      <c r="P38" s="45">
        <v>9501.603836946686</v>
      </c>
      <c r="Q38" s="45">
        <v>9627.787544012162</v>
      </c>
      <c r="R38" s="45">
        <v>9865.566527934816</v>
      </c>
      <c r="S38" s="45">
        <v>10059.201275951227</v>
      </c>
      <c r="T38" s="45">
        <v>10372.372631990504</v>
      </c>
      <c r="U38" s="45">
        <v>10668.440771999958</v>
      </c>
      <c r="V38" s="45">
        <v>10760.370871062332</v>
      </c>
      <c r="W38" s="45">
        <v>10331.307088821593</v>
      </c>
      <c r="X38" s="45">
        <v>10327.852600786126</v>
      </c>
    </row>
    <row r="39" spans="1:24" s="26" customFormat="1" ht="12.75">
      <c r="A39" s="34"/>
      <c r="B39" s="34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s="26" customFormat="1" ht="12.75">
      <c r="A40" s="34" t="s">
        <v>213</v>
      </c>
      <c r="B40" s="34"/>
      <c r="C40" s="34"/>
      <c r="D40" s="122">
        <f>(SUMIF($B$3:$B$33,"y",D3:D33)-D14-D3-D10-D20)/D35</f>
        <v>1</v>
      </c>
      <c r="E40" s="122">
        <f aca="true" t="shared" si="3" ref="E40:X40">(SUMIF($B$3:$B$33,"y",E3:E33)-E14-E3-E10-E20)/E35</f>
        <v>1</v>
      </c>
      <c r="F40" s="122">
        <f t="shared" si="3"/>
        <v>1</v>
      </c>
      <c r="G40" s="122">
        <f t="shared" si="3"/>
        <v>0.9999999999999999</v>
      </c>
      <c r="H40" s="122">
        <f t="shared" si="3"/>
        <v>1</v>
      </c>
      <c r="I40" s="122">
        <f t="shared" si="3"/>
        <v>1</v>
      </c>
      <c r="J40" s="122">
        <f t="shared" si="3"/>
        <v>0.9999999999999999</v>
      </c>
      <c r="K40" s="122">
        <f t="shared" si="3"/>
        <v>1</v>
      </c>
      <c r="L40" s="122">
        <f>(SUMIF($B$3:$B$33,"y",L3:L33)-L14-L3-L10-L20)/L35</f>
        <v>0.9999999999999993</v>
      </c>
      <c r="M40" s="122">
        <f t="shared" si="3"/>
        <v>1</v>
      </c>
      <c r="N40" s="122">
        <f t="shared" si="3"/>
        <v>1.0000000000000004</v>
      </c>
      <c r="O40" s="122">
        <f t="shared" si="3"/>
        <v>0.9999999999999998</v>
      </c>
      <c r="P40" s="122">
        <f t="shared" si="3"/>
        <v>0.9999999999999998</v>
      </c>
      <c r="Q40" s="122">
        <f t="shared" si="3"/>
        <v>1</v>
      </c>
      <c r="R40" s="122">
        <f t="shared" si="3"/>
        <v>1</v>
      </c>
      <c r="S40" s="122">
        <f t="shared" si="3"/>
        <v>1.0000000000000002</v>
      </c>
      <c r="T40" s="122">
        <f t="shared" si="3"/>
        <v>1</v>
      </c>
      <c r="U40" s="122">
        <f t="shared" si="3"/>
        <v>1</v>
      </c>
      <c r="V40" s="122">
        <f t="shared" si="3"/>
        <v>0.9999999999999997</v>
      </c>
      <c r="W40" s="122">
        <f t="shared" si="3"/>
        <v>0.9999999999999998</v>
      </c>
      <c r="X40" s="122">
        <f t="shared" si="3"/>
        <v>1</v>
      </c>
    </row>
    <row r="41" spans="1:24" s="26" customFormat="1" ht="12.75">
      <c r="A41" s="34" t="s">
        <v>214</v>
      </c>
      <c r="B41" s="34"/>
      <c r="C41" s="34"/>
      <c r="D41" s="122">
        <f>(SUMIF($C$3:$C$33,"Y",D3:D33)-D14-D3-D10-D20)/D36</f>
        <v>1</v>
      </c>
      <c r="E41" s="122">
        <f aca="true" t="shared" si="4" ref="E41:X41">(SUMIF($C$3:$C$33,"Y",E3:E33)-E14-E3-E10-E20)/E36</f>
        <v>1</v>
      </c>
      <c r="F41" s="122">
        <f t="shared" si="4"/>
        <v>1</v>
      </c>
      <c r="G41" s="122">
        <f t="shared" si="4"/>
        <v>0.9999999999999999</v>
      </c>
      <c r="H41" s="122">
        <f t="shared" si="4"/>
        <v>1</v>
      </c>
      <c r="I41" s="122">
        <f t="shared" si="4"/>
        <v>1</v>
      </c>
      <c r="J41" s="122">
        <f t="shared" si="4"/>
        <v>1.0000000000000002</v>
      </c>
      <c r="K41" s="122">
        <f t="shared" si="4"/>
        <v>0.9999999999999999</v>
      </c>
      <c r="L41" s="122">
        <f t="shared" si="4"/>
        <v>0.9999999999999996</v>
      </c>
      <c r="M41" s="122">
        <f t="shared" si="4"/>
        <v>0.9999999999999999</v>
      </c>
      <c r="N41" s="122">
        <f t="shared" si="4"/>
        <v>1.0000000000000002</v>
      </c>
      <c r="O41" s="122">
        <f t="shared" si="4"/>
        <v>0.9999999999999998</v>
      </c>
      <c r="P41" s="122">
        <f t="shared" si="4"/>
        <v>0.9999999999999998</v>
      </c>
      <c r="Q41" s="122">
        <f t="shared" si="4"/>
        <v>1</v>
      </c>
      <c r="R41" s="122">
        <f t="shared" si="4"/>
        <v>1</v>
      </c>
      <c r="S41" s="122">
        <f t="shared" si="4"/>
        <v>1.0000000000000002</v>
      </c>
      <c r="T41" s="122">
        <f t="shared" si="4"/>
        <v>1</v>
      </c>
      <c r="U41" s="122">
        <f t="shared" si="4"/>
        <v>1.0000000000000002</v>
      </c>
      <c r="V41" s="122">
        <f t="shared" si="4"/>
        <v>0.9999999999999998</v>
      </c>
      <c r="W41" s="122">
        <f t="shared" si="4"/>
        <v>0.9999999999999998</v>
      </c>
      <c r="X41" s="122">
        <f t="shared" si="4"/>
        <v>1</v>
      </c>
    </row>
    <row r="42" spans="1:24" s="26" customFormat="1" ht="12.75">
      <c r="A42" s="34" t="s">
        <v>215</v>
      </c>
      <c r="B42" s="34"/>
      <c r="C42" s="34"/>
      <c r="D42" s="122">
        <f>SUMIF($B$3:$B$33,"y",D3:D33)/D37</f>
        <v>1</v>
      </c>
      <c r="E42" s="122">
        <f>SUMIF($B$3:$B$33,"y",E3:E33)/E37</f>
        <v>1</v>
      </c>
      <c r="F42" s="122">
        <f>SUMIF($B$3:$B$33,"y",F3:F33)/F37</f>
        <v>1</v>
      </c>
      <c r="G42" s="122">
        <f>SUMIF($B$3:$B$33,"y",G3:G33)/G37</f>
        <v>1</v>
      </c>
      <c r="H42" s="122">
        <f>SUMIF($B$3:$B$33,"y",H3:H33)/H37</f>
        <v>1</v>
      </c>
      <c r="I42" s="122">
        <f aca="true" t="shared" si="5" ref="I42:X42">SUMIF($B$3:$B$33,"y",I3:I33)/I37</f>
        <v>1</v>
      </c>
      <c r="J42" s="122">
        <f t="shared" si="5"/>
        <v>1</v>
      </c>
      <c r="K42" s="122">
        <f t="shared" si="5"/>
        <v>1</v>
      </c>
      <c r="L42" s="122">
        <f t="shared" si="5"/>
        <v>1</v>
      </c>
      <c r="M42" s="122">
        <f t="shared" si="5"/>
        <v>1</v>
      </c>
      <c r="N42" s="122">
        <f t="shared" si="5"/>
        <v>1</v>
      </c>
      <c r="O42" s="122">
        <f t="shared" si="5"/>
        <v>1</v>
      </c>
      <c r="P42" s="122">
        <f t="shared" si="5"/>
        <v>1</v>
      </c>
      <c r="Q42" s="122">
        <f t="shared" si="5"/>
        <v>1</v>
      </c>
      <c r="R42" s="122">
        <f t="shared" si="5"/>
        <v>1</v>
      </c>
      <c r="S42" s="122">
        <f t="shared" si="5"/>
        <v>1</v>
      </c>
      <c r="T42" s="122">
        <f t="shared" si="5"/>
        <v>1</v>
      </c>
      <c r="U42" s="122">
        <f t="shared" si="5"/>
        <v>1</v>
      </c>
      <c r="V42" s="122">
        <f t="shared" si="5"/>
        <v>1</v>
      </c>
      <c r="W42" s="122">
        <f t="shared" si="5"/>
        <v>1</v>
      </c>
      <c r="X42" s="122">
        <f t="shared" si="5"/>
        <v>1</v>
      </c>
    </row>
    <row r="43" spans="1:24" s="26" customFormat="1" ht="12.75">
      <c r="A43" s="34" t="s">
        <v>216</v>
      </c>
      <c r="B43" s="34"/>
      <c r="C43" s="34"/>
      <c r="D43" s="122">
        <f>SUMIF($C$3:$C$33,"Y",D3:D33)/D38</f>
        <v>1</v>
      </c>
      <c r="E43" s="122">
        <f>SUMIF($C$3:$C$33,"Y",E3:E33)/E38</f>
        <v>1</v>
      </c>
      <c r="F43" s="122">
        <f>SUMIF($C$3:$C$33,"Y",F3:F33)/F38</f>
        <v>1</v>
      </c>
      <c r="G43" s="122">
        <f>SUMIF($C$3:$C$33,"Y",G3:G33)/G38</f>
        <v>1</v>
      </c>
      <c r="H43" s="122">
        <f>SUMIF($C$3:$C$33,"Y",H3:H33)/H38</f>
        <v>1</v>
      </c>
      <c r="I43" s="122">
        <f aca="true" t="shared" si="6" ref="I43:X43">SUMIF($C$3:$C$33,"Y",I3:I33)/I38</f>
        <v>1</v>
      </c>
      <c r="J43" s="122">
        <f t="shared" si="6"/>
        <v>1</v>
      </c>
      <c r="K43" s="122">
        <f t="shared" si="6"/>
        <v>1</v>
      </c>
      <c r="L43" s="122">
        <f t="shared" si="6"/>
        <v>1</v>
      </c>
      <c r="M43" s="122">
        <f t="shared" si="6"/>
        <v>1</v>
      </c>
      <c r="N43" s="122">
        <f t="shared" si="6"/>
        <v>1</v>
      </c>
      <c r="O43" s="122">
        <f t="shared" si="6"/>
        <v>1</v>
      </c>
      <c r="P43" s="122">
        <f t="shared" si="6"/>
        <v>1</v>
      </c>
      <c r="Q43" s="122">
        <f t="shared" si="6"/>
        <v>1</v>
      </c>
      <c r="R43" s="122">
        <f t="shared" si="6"/>
        <v>1</v>
      </c>
      <c r="S43" s="122">
        <f t="shared" si="6"/>
        <v>1</v>
      </c>
      <c r="T43" s="122">
        <f t="shared" si="6"/>
        <v>1</v>
      </c>
      <c r="U43" s="122">
        <f t="shared" si="6"/>
        <v>1</v>
      </c>
      <c r="V43" s="122">
        <f t="shared" si="6"/>
        <v>1</v>
      </c>
      <c r="W43" s="122">
        <f t="shared" si="6"/>
        <v>1</v>
      </c>
      <c r="X43" s="122">
        <f t="shared" si="6"/>
        <v>1</v>
      </c>
    </row>
    <row r="44" spans="1:24" s="26" customFormat="1" ht="12.75">
      <c r="A44" s="34"/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s="26" customFormat="1" ht="12.75">
      <c r="A45" s="34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26" customFormat="1" ht="21" customHeight="1">
      <c r="A46" s="38" t="s">
        <v>176</v>
      </c>
      <c r="B46" s="38"/>
      <c r="C46" s="3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s="26" customFormat="1" ht="12.75">
      <c r="A47" s="34"/>
      <c r="B47" s="34" t="s">
        <v>243</v>
      </c>
      <c r="C47" s="34" t="s">
        <v>244</v>
      </c>
      <c r="D47" s="31">
        <v>1990</v>
      </c>
      <c r="E47" s="31">
        <v>1991</v>
      </c>
      <c r="F47" s="31">
        <v>1992</v>
      </c>
      <c r="G47" s="31">
        <v>1993</v>
      </c>
      <c r="H47" s="31">
        <v>1994</v>
      </c>
      <c r="I47" s="31">
        <v>1995</v>
      </c>
      <c r="J47" s="31">
        <v>1996</v>
      </c>
      <c r="K47" s="31">
        <v>1997</v>
      </c>
      <c r="L47" s="31">
        <v>1998</v>
      </c>
      <c r="M47" s="31">
        <v>1999</v>
      </c>
      <c r="N47" s="31">
        <v>2000</v>
      </c>
      <c r="O47" s="31">
        <v>2001</v>
      </c>
      <c r="P47" s="31">
        <v>2002</v>
      </c>
      <c r="Q47" s="31">
        <v>2003</v>
      </c>
      <c r="R47" s="31">
        <v>2004</v>
      </c>
      <c r="S47" s="31">
        <v>2005</v>
      </c>
      <c r="T47" s="31">
        <v>2006</v>
      </c>
      <c r="U47" s="31">
        <v>2007</v>
      </c>
      <c r="V47" s="31">
        <v>2008</v>
      </c>
      <c r="W47" s="31">
        <v>2009</v>
      </c>
      <c r="X47" s="31">
        <v>2010</v>
      </c>
    </row>
    <row r="48" spans="1:24" ht="12.75">
      <c r="A48" s="32" t="s">
        <v>70</v>
      </c>
      <c r="B48" s="119" t="s">
        <v>212</v>
      </c>
      <c r="C48" s="119" t="s">
        <v>212</v>
      </c>
      <c r="D48" s="33">
        <f>+D3*10^9</f>
        <v>203555434392.669</v>
      </c>
      <c r="E48" s="33">
        <f aca="true" t="shared" si="7" ref="E48:X63">+E3*10^9</f>
        <v>207286756741.64407</v>
      </c>
      <c r="F48" s="33">
        <f t="shared" si="7"/>
        <v>210459601454.41776</v>
      </c>
      <c r="G48" s="33">
        <f t="shared" si="7"/>
        <v>208435247181.11877</v>
      </c>
      <c r="H48" s="33">
        <f t="shared" si="7"/>
        <v>215161393138.43198</v>
      </c>
      <c r="I48" s="37">
        <f t="shared" si="7"/>
        <v>220292469999.99997</v>
      </c>
      <c r="J48" s="37">
        <f t="shared" si="7"/>
        <v>222925019999.99997</v>
      </c>
      <c r="K48" s="37">
        <f t="shared" si="7"/>
        <v>230754709999.99997</v>
      </c>
      <c r="L48" s="37">
        <f t="shared" si="7"/>
        <v>234635569999.99997</v>
      </c>
      <c r="M48" s="37">
        <f t="shared" si="7"/>
        <v>242653300000</v>
      </c>
      <c r="N48" s="37">
        <f t="shared" si="7"/>
        <v>251741000000</v>
      </c>
      <c r="O48" s="37">
        <f t="shared" si="7"/>
        <v>253738810000</v>
      </c>
      <c r="P48" s="37">
        <f t="shared" si="7"/>
        <v>257567579999.99997</v>
      </c>
      <c r="Q48" s="37">
        <f t="shared" si="7"/>
        <v>260120680000</v>
      </c>
      <c r="R48" s="37">
        <f t="shared" si="7"/>
        <v>267835609999.99997</v>
      </c>
      <c r="S48" s="37">
        <f t="shared" si="7"/>
        <v>272783789999.99994</v>
      </c>
      <c r="T48" s="37">
        <f t="shared" si="7"/>
        <v>280932180000.00006</v>
      </c>
      <c r="U48" s="37">
        <f t="shared" si="7"/>
        <v>288676230000.00006</v>
      </c>
      <c r="V48" s="37">
        <f t="shared" si="7"/>
        <v>292060950000.00006</v>
      </c>
      <c r="W48" s="37">
        <f t="shared" si="7"/>
        <v>281978806556.7677</v>
      </c>
      <c r="X48" s="37">
        <f t="shared" si="7"/>
        <v>281277874846.19165</v>
      </c>
    </row>
    <row r="49" spans="1:24" ht="12.75">
      <c r="A49" s="32" t="s">
        <v>124</v>
      </c>
      <c r="B49" s="119" t="s">
        <v>212</v>
      </c>
      <c r="C49" s="119" t="s">
        <v>212</v>
      </c>
      <c r="D49" s="33">
        <f aca="true" t="shared" si="8" ref="D49:D78">+D4*10^9</f>
        <v>14927465770.708061</v>
      </c>
      <c r="E49" s="33">
        <f aca="true" t="shared" si="9" ref="E49:S49">+E4*10^9</f>
        <v>14927465770.708061</v>
      </c>
      <c r="F49" s="33">
        <f t="shared" si="9"/>
        <v>13844944581.922396</v>
      </c>
      <c r="G49" s="33">
        <f t="shared" si="9"/>
        <v>13639994160.480888</v>
      </c>
      <c r="H49" s="33">
        <f t="shared" si="9"/>
        <v>13887946847.703869</v>
      </c>
      <c r="I49" s="37">
        <f t="shared" si="9"/>
        <v>14285190419.904037</v>
      </c>
      <c r="J49" s="37">
        <f t="shared" si="9"/>
        <v>12942793977.487892</v>
      </c>
      <c r="K49" s="37">
        <f t="shared" si="9"/>
        <v>12221086972.127611</v>
      </c>
      <c r="L49" s="37">
        <f t="shared" si="9"/>
        <v>12710771171.261707</v>
      </c>
      <c r="M49" s="37">
        <f t="shared" si="9"/>
        <v>13003307189.170456</v>
      </c>
      <c r="N49" s="37">
        <f t="shared" si="9"/>
        <v>13704390628.101044</v>
      </c>
      <c r="O49" s="37">
        <f t="shared" si="9"/>
        <v>14261667464.850595</v>
      </c>
      <c r="P49" s="37">
        <f t="shared" si="9"/>
        <v>14903436379.268156</v>
      </c>
      <c r="Q49" s="37">
        <f t="shared" si="9"/>
        <v>15649675490.845978</v>
      </c>
      <c r="R49" s="37">
        <f t="shared" si="9"/>
        <v>16689075576.891022</v>
      </c>
      <c r="S49" s="37">
        <f t="shared" si="9"/>
        <v>17731405787.12826</v>
      </c>
      <c r="T49" s="37">
        <f t="shared" si="7"/>
        <v>18852424175.19127</v>
      </c>
      <c r="U49" s="37">
        <f t="shared" si="7"/>
        <v>20015104626.287743</v>
      </c>
      <c r="V49" s="37">
        <f t="shared" si="7"/>
        <v>21218786325.696007</v>
      </c>
      <c r="W49" s="37">
        <f t="shared" si="7"/>
        <v>20887548237.443195</v>
      </c>
      <c r="X49" s="37">
        <f t="shared" si="7"/>
        <v>20863194600.854042</v>
      </c>
    </row>
    <row r="50" spans="1:24" ht="12.75">
      <c r="A50" s="32" t="s">
        <v>71</v>
      </c>
      <c r="B50" s="119" t="s">
        <v>210</v>
      </c>
      <c r="C50" s="119" t="s">
        <v>210</v>
      </c>
      <c r="D50" s="33">
        <f t="shared" si="8"/>
        <v>59953855287.1796</v>
      </c>
      <c r="E50" s="33">
        <f t="shared" si="7"/>
        <v>52990249554.03643</v>
      </c>
      <c r="F50" s="33">
        <f t="shared" si="7"/>
        <v>52721831498.244064</v>
      </c>
      <c r="G50" s="33">
        <f t="shared" si="7"/>
        <v>52754468552.64693</v>
      </c>
      <c r="H50" s="33">
        <f t="shared" si="7"/>
        <v>53925348732.52961</v>
      </c>
      <c r="I50" s="37">
        <f t="shared" si="7"/>
        <v>57127213366.31112</v>
      </c>
      <c r="J50" s="37">
        <f t="shared" si="7"/>
        <v>59427977411.52187</v>
      </c>
      <c r="K50" s="37">
        <f t="shared" si="7"/>
        <v>58993645205.49242</v>
      </c>
      <c r="L50" s="37">
        <f t="shared" si="7"/>
        <v>58545885836.45157</v>
      </c>
      <c r="M50" s="37">
        <f t="shared" si="7"/>
        <v>59330110809.15436</v>
      </c>
      <c r="N50" s="37">
        <f t="shared" si="7"/>
        <v>61494412180.91464</v>
      </c>
      <c r="O50" s="37">
        <f t="shared" si="7"/>
        <v>63004939929.39661</v>
      </c>
      <c r="P50" s="37">
        <f t="shared" si="7"/>
        <v>64200041708.30769</v>
      </c>
      <c r="Q50" s="37">
        <f t="shared" si="7"/>
        <v>66512716040.373764</v>
      </c>
      <c r="R50" s="37">
        <f t="shared" si="7"/>
        <v>69495568730.44334</v>
      </c>
      <c r="S50" s="37">
        <f t="shared" si="7"/>
        <v>73885155513.49893</v>
      </c>
      <c r="T50" s="37">
        <f t="shared" si="7"/>
        <v>78899582911.67023</v>
      </c>
      <c r="U50" s="37">
        <f t="shared" si="7"/>
        <v>83594511246.88852</v>
      </c>
      <c r="V50" s="37">
        <f aca="true" t="shared" si="10" ref="V50:X53">+V5*10^9</f>
        <v>86282303434.29784</v>
      </c>
      <c r="W50" s="37">
        <f t="shared" si="10"/>
        <v>83921719645.63158</v>
      </c>
      <c r="X50" s="37">
        <f t="shared" si="10"/>
        <v>84180000895.94243</v>
      </c>
    </row>
    <row r="51" spans="1:24" ht="12.75">
      <c r="A51" s="32" t="s">
        <v>72</v>
      </c>
      <c r="B51" s="119" t="s">
        <v>210</v>
      </c>
      <c r="C51" s="119" t="s">
        <v>210</v>
      </c>
      <c r="D51" s="33">
        <f t="shared" si="8"/>
        <v>134344862290.72252</v>
      </c>
      <c r="E51" s="33">
        <f t="shared" si="7"/>
        <v>136091886699.73903</v>
      </c>
      <c r="F51" s="33">
        <f t="shared" si="7"/>
        <v>138780307996.95004</v>
      </c>
      <c r="G51" s="33">
        <f t="shared" si="7"/>
        <v>138655942183.16122</v>
      </c>
      <c r="H51" s="33">
        <f t="shared" si="7"/>
        <v>146317251959.02496</v>
      </c>
      <c r="I51" s="37">
        <f t="shared" si="7"/>
        <v>150802202503.75098</v>
      </c>
      <c r="J51" s="37">
        <f t="shared" si="7"/>
        <v>155076791024.72202</v>
      </c>
      <c r="K51" s="37">
        <f t="shared" si="7"/>
        <v>160036934355.25183</v>
      </c>
      <c r="L51" s="37">
        <f t="shared" si="7"/>
        <v>163494357642.36325</v>
      </c>
      <c r="M51" s="37">
        <f t="shared" si="7"/>
        <v>167680535083.19742</v>
      </c>
      <c r="N51" s="37">
        <f t="shared" si="7"/>
        <v>173597503639.12314</v>
      </c>
      <c r="O51" s="37">
        <f t="shared" si="7"/>
        <v>174821172018.3767</v>
      </c>
      <c r="P51" s="37">
        <f t="shared" si="7"/>
        <v>175635519903.70386</v>
      </c>
      <c r="Q51" s="37">
        <f t="shared" si="7"/>
        <v>176309537000.22504</v>
      </c>
      <c r="R51" s="37">
        <f t="shared" si="7"/>
        <v>180358469319.6935</v>
      </c>
      <c r="S51" s="37">
        <f t="shared" si="7"/>
        <v>184768558889.12918</v>
      </c>
      <c r="T51" s="37">
        <f t="shared" si="7"/>
        <v>190947138380.2094</v>
      </c>
      <c r="U51" s="37">
        <f t="shared" si="7"/>
        <v>194091165182.95108</v>
      </c>
      <c r="V51" s="37">
        <f t="shared" si="10"/>
        <v>191875790120.28098</v>
      </c>
      <c r="W51" s="37">
        <f t="shared" si="10"/>
        <v>185591540133.89963</v>
      </c>
      <c r="X51" s="37">
        <f t="shared" si="10"/>
        <v>186076918863.14566</v>
      </c>
    </row>
    <row r="52" spans="1:24" ht="12.75">
      <c r="A52" s="32" t="s">
        <v>125</v>
      </c>
      <c r="B52" s="119" t="s">
        <v>210</v>
      </c>
      <c r="C52" s="119" t="s">
        <v>210</v>
      </c>
      <c r="D52" s="33">
        <f t="shared" si="8"/>
        <v>1674987200522.3389</v>
      </c>
      <c r="E52" s="33">
        <f t="shared" si="7"/>
        <v>1760550000000</v>
      </c>
      <c r="F52" s="33">
        <f t="shared" si="7"/>
        <v>1799737500000</v>
      </c>
      <c r="G52" s="33">
        <f t="shared" si="7"/>
        <v>1785300000000</v>
      </c>
      <c r="H52" s="33">
        <f t="shared" si="7"/>
        <v>1832737499999.9998</v>
      </c>
      <c r="I52" s="37">
        <f t="shared" si="7"/>
        <v>1867387499999.9998</v>
      </c>
      <c r="J52" s="37">
        <f t="shared" si="7"/>
        <v>1885949999999.9998</v>
      </c>
      <c r="K52" s="37">
        <f t="shared" si="7"/>
        <v>1919981200000</v>
      </c>
      <c r="L52" s="37">
        <f t="shared" si="7"/>
        <v>1958962500000.0002</v>
      </c>
      <c r="M52" s="37">
        <f t="shared" si="7"/>
        <v>1998356200000</v>
      </c>
      <c r="N52" s="37">
        <f t="shared" si="7"/>
        <v>2062500000000</v>
      </c>
      <c r="O52" s="37">
        <f t="shared" si="7"/>
        <v>2088074999999.9998</v>
      </c>
      <c r="P52" s="37">
        <f t="shared" si="7"/>
        <v>2088074999999.9998</v>
      </c>
      <c r="Q52" s="37">
        <f t="shared" si="7"/>
        <v>2083537500000</v>
      </c>
      <c r="R52" s="37">
        <f t="shared" si="7"/>
        <v>2108699999999.9998</v>
      </c>
      <c r="S52" s="37">
        <f t="shared" si="7"/>
        <v>2124993799999.9998</v>
      </c>
      <c r="T52" s="37">
        <f t="shared" si="7"/>
        <v>2187900000000</v>
      </c>
      <c r="U52" s="37">
        <f t="shared" si="7"/>
        <v>2241731200000</v>
      </c>
      <c r="V52" s="37">
        <f t="shared" si="10"/>
        <v>2270812500000</v>
      </c>
      <c r="W52" s="37">
        <f t="shared" si="10"/>
        <v>2149200756748.9463</v>
      </c>
      <c r="X52" s="37">
        <f t="shared" si="10"/>
        <v>2154633997467.4746</v>
      </c>
    </row>
    <row r="53" spans="1:24" ht="12.75">
      <c r="A53" s="32" t="s">
        <v>126</v>
      </c>
      <c r="B53" s="119" t="s">
        <v>210</v>
      </c>
      <c r="C53" s="119" t="s">
        <v>210</v>
      </c>
      <c r="D53" s="33">
        <f t="shared" si="8"/>
        <v>4427410124.2218685</v>
      </c>
      <c r="E53" s="33">
        <f t="shared" si="7"/>
        <v>4427410124.2218685</v>
      </c>
      <c r="F53" s="33">
        <f t="shared" si="7"/>
        <v>4427410124.2218685</v>
      </c>
      <c r="G53" s="33">
        <f t="shared" si="7"/>
        <v>4427410124.2218685</v>
      </c>
      <c r="H53" s="33">
        <f t="shared" si="7"/>
        <v>4354694544.14656</v>
      </c>
      <c r="I53" s="37">
        <f t="shared" si="7"/>
        <v>4551818286.400881</v>
      </c>
      <c r="J53" s="37">
        <f t="shared" si="7"/>
        <v>4778342898.776732</v>
      </c>
      <c r="K53" s="37">
        <f t="shared" si="7"/>
        <v>5294478672.682884</v>
      </c>
      <c r="L53" s="37">
        <f t="shared" si="7"/>
        <v>5578157554.9959755</v>
      </c>
      <c r="M53" s="37">
        <f t="shared" si="7"/>
        <v>5570563572.916801</v>
      </c>
      <c r="N53" s="37">
        <f t="shared" si="7"/>
        <v>6102985313.103167</v>
      </c>
      <c r="O53" s="37">
        <f t="shared" si="7"/>
        <v>6570642184.244501</v>
      </c>
      <c r="P53" s="37">
        <f t="shared" si="7"/>
        <v>7084445182.979051</v>
      </c>
      <c r="Q53" s="37">
        <f t="shared" si="7"/>
        <v>7588646734.753878</v>
      </c>
      <c r="R53" s="37">
        <f t="shared" si="7"/>
        <v>8160379251.722422</v>
      </c>
      <c r="S53" s="37">
        <f t="shared" si="7"/>
        <v>8907567778.303274</v>
      </c>
      <c r="T53" s="37">
        <f t="shared" si="7"/>
        <v>9831905334.06619</v>
      </c>
      <c r="U53" s="37">
        <f t="shared" si="7"/>
        <v>10454547313.793415</v>
      </c>
      <c r="V53" s="37">
        <f t="shared" si="10"/>
        <v>10074438536.167604</v>
      </c>
      <c r="W53" s="37">
        <f t="shared" si="10"/>
        <v>9037187495.166546</v>
      </c>
      <c r="X53" s="37">
        <f t="shared" si="10"/>
        <v>8962328703.486277</v>
      </c>
    </row>
    <row r="54" spans="1:24" ht="12.75">
      <c r="A54" s="32" t="s">
        <v>73</v>
      </c>
      <c r="B54" s="119" t="s">
        <v>212</v>
      </c>
      <c r="C54" s="119" t="s">
        <v>212</v>
      </c>
      <c r="D54" s="33">
        <f t="shared" si="8"/>
        <v>52383161194.08997</v>
      </c>
      <c r="E54" s="33">
        <f t="shared" si="7"/>
        <v>53393974869.014786</v>
      </c>
      <c r="F54" s="33">
        <f t="shared" si="7"/>
        <v>55179070318.09504</v>
      </c>
      <c r="G54" s="33">
        <f t="shared" si="7"/>
        <v>56664836347.70024</v>
      </c>
      <c r="H54" s="33">
        <f t="shared" si="7"/>
        <v>59926367623.44717</v>
      </c>
      <c r="I54" s="37">
        <f t="shared" si="7"/>
        <v>65802694526.21095</v>
      </c>
      <c r="J54" s="37">
        <f t="shared" si="7"/>
        <v>71700344840.37192</v>
      </c>
      <c r="K54" s="37">
        <f t="shared" si="7"/>
        <v>79943993124.46497</v>
      </c>
      <c r="L54" s="37">
        <f t="shared" si="7"/>
        <v>86683643477.2893</v>
      </c>
      <c r="M54" s="37">
        <f t="shared" si="7"/>
        <v>95980624319.63712</v>
      </c>
      <c r="N54" s="37">
        <f t="shared" si="7"/>
        <v>104844640000</v>
      </c>
      <c r="O54" s="37">
        <f t="shared" si="7"/>
        <v>110919202423.37837</v>
      </c>
      <c r="P54" s="37">
        <f t="shared" si="7"/>
        <v>118050207442.09055</v>
      </c>
      <c r="Q54" s="37">
        <f t="shared" si="7"/>
        <v>123379340978.16566</v>
      </c>
      <c r="R54" s="37">
        <f t="shared" si="7"/>
        <v>129183000171.72664</v>
      </c>
      <c r="S54" s="37">
        <f t="shared" si="7"/>
        <v>137416258331.94447</v>
      </c>
      <c r="T54" s="37">
        <f t="shared" si="7"/>
        <v>145260651855.96158</v>
      </c>
      <c r="U54" s="37">
        <f t="shared" si="7"/>
        <v>154014726225.55988</v>
      </c>
      <c r="V54" s="37">
        <f aca="true" t="shared" si="11" ref="V54:X69">+V9*10^9</f>
        <v>150528374659.8732</v>
      </c>
      <c r="W54" s="37">
        <f t="shared" si="11"/>
        <v>136927447361.14731</v>
      </c>
      <c r="X54" s="37">
        <f t="shared" si="11"/>
        <v>133370373639.11531</v>
      </c>
    </row>
    <row r="55" spans="1:24" ht="12.75">
      <c r="A55" s="32" t="s">
        <v>211</v>
      </c>
      <c r="B55" s="119" t="s">
        <v>212</v>
      </c>
      <c r="C55" s="119" t="s">
        <v>212</v>
      </c>
      <c r="D55" s="33">
        <f t="shared" si="8"/>
        <v>109441292731.17068</v>
      </c>
      <c r="E55" s="33">
        <f t="shared" si="7"/>
        <v>112835809427.0756</v>
      </c>
      <c r="F55" s="33">
        <f t="shared" si="7"/>
        <v>113622456239.7794</v>
      </c>
      <c r="G55" s="33">
        <f t="shared" si="7"/>
        <v>111805486967.85812</v>
      </c>
      <c r="H55" s="33">
        <f t="shared" si="7"/>
        <v>114041426263.91615</v>
      </c>
      <c r="I55" s="37">
        <f t="shared" si="7"/>
        <v>116436081777.39319</v>
      </c>
      <c r="J55" s="37">
        <f t="shared" si="7"/>
        <v>119182112707.49675</v>
      </c>
      <c r="K55" s="37">
        <f t="shared" si="7"/>
        <v>123516575036.90054</v>
      </c>
      <c r="L55" s="37">
        <f t="shared" si="7"/>
        <v>127670420878.11682</v>
      </c>
      <c r="M55" s="37">
        <f t="shared" si="7"/>
        <v>132037429308.78465</v>
      </c>
      <c r="N55" s="37">
        <f t="shared" si="7"/>
        <v>137948801004.14005</v>
      </c>
      <c r="O55" s="37">
        <f t="shared" si="7"/>
        <v>143738579425.25128</v>
      </c>
      <c r="P55" s="37">
        <f t="shared" si="7"/>
        <v>148681964956.32193</v>
      </c>
      <c r="Q55" s="37">
        <f t="shared" si="7"/>
        <v>156980848457.85547</v>
      </c>
      <c r="R55" s="37">
        <f t="shared" si="7"/>
        <v>164698160763.6323</v>
      </c>
      <c r="S55" s="37">
        <f t="shared" si="7"/>
        <v>169471935702.64496</v>
      </c>
      <c r="T55" s="37">
        <f t="shared" si="7"/>
        <v>177093166381.55298</v>
      </c>
      <c r="U55" s="37">
        <f t="shared" si="7"/>
        <v>184241236549.88818</v>
      </c>
      <c r="V55" s="37">
        <f t="shared" si="11"/>
        <v>189644167991.01135</v>
      </c>
      <c r="W55" s="37">
        <f t="shared" si="11"/>
        <v>188025052752.82333</v>
      </c>
      <c r="X55" s="37">
        <f t="shared" si="11"/>
        <v>188119421973.81335</v>
      </c>
    </row>
    <row r="56" spans="1:24" ht="12.75">
      <c r="A56" s="32" t="s">
        <v>74</v>
      </c>
      <c r="B56" s="119" t="s">
        <v>210</v>
      </c>
      <c r="C56" s="119" t="s">
        <v>210</v>
      </c>
      <c r="D56" s="33">
        <f t="shared" si="8"/>
        <v>478278625851.41943</v>
      </c>
      <c r="E56" s="33">
        <f t="shared" si="7"/>
        <v>490443168540.8959</v>
      </c>
      <c r="F56" s="33">
        <f t="shared" si="7"/>
        <v>495005544579.91486</v>
      </c>
      <c r="G56" s="33">
        <f t="shared" si="7"/>
        <v>489900470302.6416</v>
      </c>
      <c r="H56" s="33">
        <f t="shared" si="7"/>
        <v>501574657343.7781</v>
      </c>
      <c r="I56" s="37">
        <f t="shared" si="7"/>
        <v>515404980000</v>
      </c>
      <c r="J56" s="37">
        <f t="shared" si="7"/>
        <v>527862380000</v>
      </c>
      <c r="K56" s="37">
        <f t="shared" si="7"/>
        <v>548283760000</v>
      </c>
      <c r="L56" s="37">
        <f t="shared" si="7"/>
        <v>572781959999.9999</v>
      </c>
      <c r="M56" s="37">
        <f t="shared" si="7"/>
        <v>599965830000</v>
      </c>
      <c r="N56" s="37">
        <f t="shared" si="7"/>
        <v>630263000000</v>
      </c>
      <c r="O56" s="37">
        <f t="shared" si="7"/>
        <v>653255000000</v>
      </c>
      <c r="P56" s="37">
        <f t="shared" si="7"/>
        <v>670920419999.9999</v>
      </c>
      <c r="Q56" s="37">
        <f t="shared" si="7"/>
        <v>691694680000.0001</v>
      </c>
      <c r="R56" s="37">
        <f t="shared" si="7"/>
        <v>714291200000</v>
      </c>
      <c r="S56" s="37">
        <f t="shared" si="7"/>
        <v>740108020000</v>
      </c>
      <c r="T56" s="37">
        <f t="shared" si="7"/>
        <v>768890069999.9999</v>
      </c>
      <c r="U56" s="37">
        <f aca="true" t="shared" si="12" ref="U56:U69">+U11*10^9</f>
        <v>797052350000</v>
      </c>
      <c r="V56" s="37">
        <f t="shared" si="11"/>
        <v>806288370000.0002</v>
      </c>
      <c r="W56" s="37">
        <f t="shared" si="11"/>
        <v>780872179214.5403</v>
      </c>
      <c r="X56" s="37">
        <f t="shared" si="11"/>
        <v>773384149331.5864</v>
      </c>
    </row>
    <row r="57" spans="1:24" ht="12.75">
      <c r="A57" s="32" t="s">
        <v>75</v>
      </c>
      <c r="B57" s="119" t="s">
        <v>210</v>
      </c>
      <c r="C57" s="119" t="s">
        <v>210</v>
      </c>
      <c r="D57" s="33">
        <f t="shared" si="8"/>
        <v>1185494000000</v>
      </c>
      <c r="E57" s="33">
        <f t="shared" si="7"/>
        <v>1197512000000</v>
      </c>
      <c r="F57" s="33">
        <f t="shared" si="7"/>
        <v>1213905000000</v>
      </c>
      <c r="G57" s="33">
        <f t="shared" si="7"/>
        <v>1202807000000</v>
      </c>
      <c r="H57" s="33">
        <f t="shared" si="7"/>
        <v>1229452000000</v>
      </c>
      <c r="I57" s="37">
        <f t="shared" si="7"/>
        <v>1255451000000</v>
      </c>
      <c r="J57" s="37">
        <f t="shared" si="7"/>
        <v>1269330000000</v>
      </c>
      <c r="K57" s="37">
        <f t="shared" si="7"/>
        <v>1297676000000</v>
      </c>
      <c r="L57" s="37">
        <f t="shared" si="7"/>
        <v>1343059000000</v>
      </c>
      <c r="M57" s="37">
        <f t="shared" si="7"/>
        <v>1387280000000</v>
      </c>
      <c r="N57" s="37">
        <f t="shared" si="7"/>
        <v>1441407000000</v>
      </c>
      <c r="O57" s="37">
        <f t="shared" si="7"/>
        <v>1467996000000</v>
      </c>
      <c r="P57" s="37">
        <f t="shared" si="7"/>
        <v>1483108000000</v>
      </c>
      <c r="Q57" s="37">
        <f t="shared" si="7"/>
        <v>1499115000000</v>
      </c>
      <c r="R57" s="37">
        <f t="shared" si="7"/>
        <v>1535979000000</v>
      </c>
      <c r="S57" s="37">
        <f t="shared" si="7"/>
        <v>1564994000000</v>
      </c>
      <c r="T57" s="37">
        <f t="shared" si="7"/>
        <v>1598875999999.9998</v>
      </c>
      <c r="U57" s="37">
        <f t="shared" si="12"/>
        <v>1633457000000</v>
      </c>
      <c r="V57" s="37">
        <f t="shared" si="11"/>
        <v>1645537709785.784</v>
      </c>
      <c r="W57" s="37">
        <f t="shared" si="11"/>
        <v>1596977635731.9844</v>
      </c>
      <c r="X57" s="37">
        <f t="shared" si="11"/>
        <v>1594072345053.6926</v>
      </c>
    </row>
    <row r="58" spans="1:24" ht="12.75">
      <c r="A58" s="32" t="s">
        <v>76</v>
      </c>
      <c r="B58" s="119" t="s">
        <v>212</v>
      </c>
      <c r="C58" s="119" t="s">
        <v>212</v>
      </c>
      <c r="D58" s="33">
        <f t="shared" si="8"/>
        <v>1017666300000.0002</v>
      </c>
      <c r="E58" s="33">
        <f t="shared" si="7"/>
        <v>1033274600000</v>
      </c>
      <c r="F58" s="33">
        <f t="shared" si="7"/>
        <v>1041261199999.9999</v>
      </c>
      <c r="G58" s="33">
        <f t="shared" si="7"/>
        <v>1032012600000</v>
      </c>
      <c r="H58" s="33">
        <f t="shared" si="7"/>
        <v>1054220399999.9999</v>
      </c>
      <c r="I58" s="37">
        <f t="shared" si="7"/>
        <v>1084022800000</v>
      </c>
      <c r="J58" s="37">
        <f t="shared" si="7"/>
        <v>1095896999999.9999</v>
      </c>
      <c r="K58" s="37">
        <f t="shared" si="7"/>
        <v>1116414900000</v>
      </c>
      <c r="L58" s="37">
        <f t="shared" si="7"/>
        <v>1132059500000</v>
      </c>
      <c r="M58" s="37">
        <f t="shared" si="7"/>
        <v>1148636000000</v>
      </c>
      <c r="N58" s="37">
        <f t="shared" si="7"/>
        <v>1191057300000</v>
      </c>
      <c r="O58" s="37">
        <f t="shared" si="7"/>
        <v>1212713300000</v>
      </c>
      <c r="P58" s="37">
        <f t="shared" si="7"/>
        <v>1218219600000.0002</v>
      </c>
      <c r="Q58" s="37">
        <f t="shared" si="7"/>
        <v>1218013500000</v>
      </c>
      <c r="R58" s="37">
        <f t="shared" si="7"/>
        <v>1236671200000</v>
      </c>
      <c r="S58" s="37">
        <f t="shared" si="7"/>
        <v>1244782199999.9998</v>
      </c>
      <c r="T58" s="37">
        <f t="shared" si="7"/>
        <v>1270126399999.9998</v>
      </c>
      <c r="U58" s="37">
        <f t="shared" si="12"/>
        <v>1289988400000</v>
      </c>
      <c r="V58" s="37">
        <f t="shared" si="11"/>
        <v>1276578200000</v>
      </c>
      <c r="W58" s="37">
        <f t="shared" si="11"/>
        <v>1220862004629.7083</v>
      </c>
      <c r="X58" s="37">
        <f t="shared" si="11"/>
        <v>1222536591922.5798</v>
      </c>
    </row>
    <row r="59" spans="1:24" ht="12.75">
      <c r="A59" s="32" t="s">
        <v>77</v>
      </c>
      <c r="B59" s="119" t="s">
        <v>212</v>
      </c>
      <c r="C59" s="119" t="s">
        <v>212</v>
      </c>
      <c r="D59" s="33">
        <f t="shared" si="8"/>
        <v>6452137316.577073</v>
      </c>
      <c r="E59" s="33">
        <f t="shared" si="7"/>
        <v>6499886154.798112</v>
      </c>
      <c r="F59" s="33">
        <f t="shared" si="7"/>
        <v>7129485814.885648</v>
      </c>
      <c r="G59" s="33">
        <f t="shared" si="7"/>
        <v>7179450843.910195</v>
      </c>
      <c r="H59" s="33">
        <f t="shared" si="7"/>
        <v>7602944759.271474</v>
      </c>
      <c r="I59" s="37">
        <f t="shared" si="7"/>
        <v>8357456991.920378</v>
      </c>
      <c r="J59" s="37">
        <f t="shared" si="7"/>
        <v>8511973923.86916</v>
      </c>
      <c r="K59" s="37">
        <f t="shared" si="7"/>
        <v>8711871026.565836</v>
      </c>
      <c r="L59" s="37">
        <f t="shared" si="7"/>
        <v>9151232661.734879</v>
      </c>
      <c r="M59" s="37">
        <f t="shared" si="7"/>
        <v>9594785589.078615</v>
      </c>
      <c r="N59" s="37">
        <f t="shared" si="7"/>
        <v>10078619791.580595</v>
      </c>
      <c r="O59" s="37">
        <f t="shared" si="7"/>
        <v>10480300588.34212</v>
      </c>
      <c r="P59" s="37">
        <f t="shared" si="7"/>
        <v>10700746240.26509</v>
      </c>
      <c r="Q59" s="37">
        <f t="shared" si="7"/>
        <v>10904742855.015844</v>
      </c>
      <c r="R59" s="37">
        <f t="shared" si="7"/>
        <v>11362735854.66947</v>
      </c>
      <c r="S59" s="37">
        <f t="shared" si="7"/>
        <v>11811357084.22932</v>
      </c>
      <c r="T59" s="37">
        <f t="shared" si="7"/>
        <v>12300667500.594587</v>
      </c>
      <c r="U59" s="37">
        <f t="shared" si="12"/>
        <v>12847452668.046398</v>
      </c>
      <c r="V59" s="37">
        <f t="shared" si="11"/>
        <v>13317866577.356415</v>
      </c>
      <c r="W59" s="37">
        <f t="shared" si="11"/>
        <v>13353158073.290627</v>
      </c>
      <c r="X59" s="37">
        <f t="shared" si="11"/>
        <v>13446598394.308334</v>
      </c>
    </row>
    <row r="60" spans="1:24" ht="12.75">
      <c r="A60" s="32" t="s">
        <v>78</v>
      </c>
      <c r="B60" s="119" t="s">
        <v>212</v>
      </c>
      <c r="C60" s="119" t="s">
        <v>212</v>
      </c>
      <c r="D60" s="33">
        <f t="shared" si="8"/>
        <v>12283667258.151539</v>
      </c>
      <c r="E60" s="33">
        <f t="shared" si="7"/>
        <v>10735918798.239162</v>
      </c>
      <c r="F60" s="33">
        <f t="shared" si="7"/>
        <v>7289697335.524073</v>
      </c>
      <c r="G60" s="33">
        <f t="shared" si="7"/>
        <v>6458672093.238516</v>
      </c>
      <c r="H60" s="33">
        <f t="shared" si="7"/>
        <v>6600765056.125656</v>
      </c>
      <c r="I60" s="37">
        <f t="shared" si="7"/>
        <v>6541355576.557754</v>
      </c>
      <c r="J60" s="37">
        <f t="shared" si="7"/>
        <v>6777766201.725652</v>
      </c>
      <c r="K60" s="37">
        <f t="shared" si="7"/>
        <v>7343088183.019282</v>
      </c>
      <c r="L60" s="37">
        <f t="shared" si="7"/>
        <v>7695191777.314802</v>
      </c>
      <c r="M60" s="37">
        <f t="shared" si="7"/>
        <v>7945532050.543042</v>
      </c>
      <c r="N60" s="37">
        <f t="shared" si="7"/>
        <v>8495046831.727119</v>
      </c>
      <c r="O60" s="37">
        <f t="shared" si="7"/>
        <v>9178726117.913445</v>
      </c>
      <c r="P60" s="37">
        <f t="shared" si="7"/>
        <v>9772944519.316845</v>
      </c>
      <c r="Q60" s="37">
        <f t="shared" si="7"/>
        <v>10475703310.61278</v>
      </c>
      <c r="R60" s="37">
        <f t="shared" si="7"/>
        <v>11384527909.671732</v>
      </c>
      <c r="S60" s="37">
        <f t="shared" si="7"/>
        <v>12591561418.489782</v>
      </c>
      <c r="T60" s="37">
        <f t="shared" si="7"/>
        <v>14131905119.663145</v>
      </c>
      <c r="U60" s="37">
        <f t="shared" si="12"/>
        <v>15541946708.62121</v>
      </c>
      <c r="V60" s="37">
        <f t="shared" si="11"/>
        <v>14829800157.079218</v>
      </c>
      <c r="W60" s="37">
        <f t="shared" si="11"/>
        <v>12887780123.076714</v>
      </c>
      <c r="X60" s="37">
        <f t="shared" si="11"/>
        <v>12474185805.097103</v>
      </c>
    </row>
    <row r="61" spans="1:24" ht="12.75">
      <c r="A61" s="32" t="s">
        <v>79</v>
      </c>
      <c r="B61" s="119" t="s">
        <v>210</v>
      </c>
      <c r="C61" s="119" t="s">
        <v>210</v>
      </c>
      <c r="D61" s="33">
        <f t="shared" si="8"/>
        <v>16959829009.68831</v>
      </c>
      <c r="E61" s="33">
        <f t="shared" si="7"/>
        <v>15997157643.004887</v>
      </c>
      <c r="F61" s="33">
        <f t="shared" si="7"/>
        <v>12596426854.868263</v>
      </c>
      <c r="G61" s="33">
        <f t="shared" si="7"/>
        <v>10552337907.175957</v>
      </c>
      <c r="H61" s="33">
        <f t="shared" si="7"/>
        <v>9521796174.261295</v>
      </c>
      <c r="I61" s="37">
        <f t="shared" si="7"/>
        <v>9835075383.43181</v>
      </c>
      <c r="J61" s="37">
        <f t="shared" si="7"/>
        <v>10335402890.110342</v>
      </c>
      <c r="K61" s="37">
        <f t="shared" si="7"/>
        <v>11212256072.831198</v>
      </c>
      <c r="L61" s="37">
        <f t="shared" si="7"/>
        <v>12052063694.978045</v>
      </c>
      <c r="M61" s="37">
        <f t="shared" si="7"/>
        <v>11875165663.12465</v>
      </c>
      <c r="N61" s="37">
        <f t="shared" si="7"/>
        <v>12377414591.967514</v>
      </c>
      <c r="O61" s="37">
        <f t="shared" si="7"/>
        <v>13211135906.441708</v>
      </c>
      <c r="P61" s="37">
        <f t="shared" si="7"/>
        <v>14117873969.388933</v>
      </c>
      <c r="Q61" s="37">
        <f t="shared" si="7"/>
        <v>15564477535.945528</v>
      </c>
      <c r="R61" s="37">
        <f t="shared" si="7"/>
        <v>16708605954.18181</v>
      </c>
      <c r="S61" s="37">
        <f t="shared" si="7"/>
        <v>18012266536.625683</v>
      </c>
      <c r="T61" s="37">
        <f t="shared" si="7"/>
        <v>19425277690.04727</v>
      </c>
      <c r="U61" s="37">
        <f t="shared" si="12"/>
        <v>21158928196.81311</v>
      </c>
      <c r="V61" s="37">
        <f t="shared" si="11"/>
        <v>21797205696.205505</v>
      </c>
      <c r="W61" s="37">
        <f t="shared" si="11"/>
        <v>19403476063.574326</v>
      </c>
      <c r="X61" s="37">
        <f t="shared" si="11"/>
        <v>18485007889.967934</v>
      </c>
    </row>
    <row r="62" spans="1:24" ht="12.75">
      <c r="A62" s="32" t="s">
        <v>80</v>
      </c>
      <c r="B62" s="119" t="s">
        <v>212</v>
      </c>
      <c r="C62" s="119" t="s">
        <v>212</v>
      </c>
      <c r="D62" s="33">
        <f t="shared" si="8"/>
        <v>13460324829.631235</v>
      </c>
      <c r="E62" s="33">
        <f t="shared" si="7"/>
        <v>14623838667.58962</v>
      </c>
      <c r="F62" s="33">
        <f t="shared" si="7"/>
        <v>14889938467.48713</v>
      </c>
      <c r="G62" s="33">
        <f t="shared" si="7"/>
        <v>15515473151.845747</v>
      </c>
      <c r="H62" s="33">
        <f t="shared" si="7"/>
        <v>16108256117.562511</v>
      </c>
      <c r="I62" s="37">
        <f t="shared" si="7"/>
        <v>16338999999.999998</v>
      </c>
      <c r="J62" s="37">
        <f t="shared" si="7"/>
        <v>16587000000</v>
      </c>
      <c r="K62" s="37">
        <f t="shared" si="7"/>
        <v>17572100000</v>
      </c>
      <c r="L62" s="37">
        <f t="shared" si="7"/>
        <v>18712500000</v>
      </c>
      <c r="M62" s="37">
        <f t="shared" si="7"/>
        <v>20287700000</v>
      </c>
      <c r="N62" s="37">
        <f t="shared" si="7"/>
        <v>22000600000</v>
      </c>
      <c r="O62" s="37">
        <f t="shared" si="7"/>
        <v>22554400000.000004</v>
      </c>
      <c r="P62" s="37">
        <f t="shared" si="7"/>
        <v>23480300000.000004</v>
      </c>
      <c r="Q62" s="37">
        <f t="shared" si="7"/>
        <v>23843700000.000004</v>
      </c>
      <c r="R62" s="37">
        <f t="shared" si="7"/>
        <v>24928000000.000004</v>
      </c>
      <c r="S62" s="37">
        <f t="shared" si="7"/>
        <v>26220700000.000004</v>
      </c>
      <c r="T62" s="37">
        <f t="shared" si="7"/>
        <v>27910200000.000008</v>
      </c>
      <c r="U62" s="37">
        <f t="shared" si="12"/>
        <v>29361700000.000004</v>
      </c>
      <c r="V62" s="37">
        <f t="shared" si="11"/>
        <v>29088000000.000004</v>
      </c>
      <c r="W62" s="37">
        <f t="shared" si="11"/>
        <v>28229176000.000004</v>
      </c>
      <c r="X62" s="37">
        <f t="shared" si="11"/>
        <v>28264739000.000004</v>
      </c>
    </row>
    <row r="63" spans="1:24" ht="12.75">
      <c r="A63" s="32" t="s">
        <v>127</v>
      </c>
      <c r="B63" s="119" t="s">
        <v>210</v>
      </c>
      <c r="C63" s="119" t="s">
        <v>210</v>
      </c>
      <c r="D63" s="33">
        <f t="shared" si="8"/>
        <v>42057663001.77991</v>
      </c>
      <c r="E63" s="33">
        <f t="shared" si="7"/>
        <v>42057663001.77991</v>
      </c>
      <c r="F63" s="33">
        <f t="shared" si="7"/>
        <v>41175316676.17113</v>
      </c>
      <c r="G63" s="33">
        <f t="shared" si="7"/>
        <v>40928263603.5143</v>
      </c>
      <c r="H63" s="33">
        <f t="shared" si="7"/>
        <v>42115185874.94433</v>
      </c>
      <c r="I63" s="37">
        <f t="shared" si="7"/>
        <v>42746912597.06867</v>
      </c>
      <c r="J63" s="37">
        <f t="shared" si="7"/>
        <v>43311175997.703575</v>
      </c>
      <c r="K63" s="37">
        <f t="shared" si="7"/>
        <v>45288849321.604935</v>
      </c>
      <c r="L63" s="37">
        <f t="shared" si="7"/>
        <v>47489857983.588165</v>
      </c>
      <c r="M63" s="37">
        <f t="shared" si="7"/>
        <v>49462391665.49842</v>
      </c>
      <c r="N63" s="37">
        <f t="shared" si="7"/>
        <v>52036564224.60288</v>
      </c>
      <c r="O63" s="37">
        <f t="shared" si="7"/>
        <v>54164604564.871475</v>
      </c>
      <c r="P63" s="37">
        <f t="shared" si="7"/>
        <v>56411333716.18974</v>
      </c>
      <c r="Q63" s="37">
        <f t="shared" si="7"/>
        <v>58796795344.31844</v>
      </c>
      <c r="R63" s="37">
        <f t="shared" si="7"/>
        <v>61641291920.740234</v>
      </c>
      <c r="S63" s="37">
        <f t="shared" si="7"/>
        <v>64084468997.869194</v>
      </c>
      <c r="T63" s="37">
        <f t="shared" si="7"/>
        <v>66720836087.759636</v>
      </c>
      <c r="U63" s="37">
        <f t="shared" si="12"/>
        <v>67436715361.74357</v>
      </c>
      <c r="V63" s="37">
        <f t="shared" si="11"/>
        <v>67758621788.0568</v>
      </c>
      <c r="W63" s="37">
        <f t="shared" si="11"/>
        <v>63458659553.49559</v>
      </c>
      <c r="X63" s="37">
        <f t="shared" si="11"/>
        <v>63289008570.40205</v>
      </c>
    </row>
    <row r="64" spans="1:24" ht="12.75">
      <c r="A64" s="32" t="s">
        <v>128</v>
      </c>
      <c r="B64" s="119" t="s">
        <v>212</v>
      </c>
      <c r="C64" s="119" t="s">
        <v>212</v>
      </c>
      <c r="D64" s="33">
        <f t="shared" si="8"/>
        <v>2751724933.451728</v>
      </c>
      <c r="E64" s="33">
        <f aca="true" t="shared" si="13" ref="E64:T64">+E19*10^9</f>
        <v>2751724933.451728</v>
      </c>
      <c r="F64" s="33">
        <f t="shared" si="13"/>
        <v>2880679764.113219</v>
      </c>
      <c r="G64" s="33">
        <f t="shared" si="13"/>
        <v>3009929685.920388</v>
      </c>
      <c r="H64" s="33">
        <f t="shared" si="13"/>
        <v>3181967823.8509355</v>
      </c>
      <c r="I64" s="37">
        <f t="shared" si="13"/>
        <v>3380328091.9760027</v>
      </c>
      <c r="J64" s="37">
        <f t="shared" si="13"/>
        <v>3515125727.321928</v>
      </c>
      <c r="K64" s="37">
        <f t="shared" si="13"/>
        <v>3685776936.8677864</v>
      </c>
      <c r="L64" s="37">
        <f t="shared" si="13"/>
        <v>3811987419.874468</v>
      </c>
      <c r="M64" s="37">
        <f t="shared" si="13"/>
        <v>3966733216.6682577</v>
      </c>
      <c r="N64" s="37">
        <f t="shared" si="13"/>
        <v>4221131293.357667</v>
      </c>
      <c r="O64" s="37">
        <f t="shared" si="13"/>
        <v>4152895343.8312345</v>
      </c>
      <c r="P64" s="37">
        <f t="shared" si="13"/>
        <v>4261703158.7229857</v>
      </c>
      <c r="Q64" s="37">
        <f t="shared" si="13"/>
        <v>4248646645.883504</v>
      </c>
      <c r="R64" s="37">
        <f t="shared" si="13"/>
        <v>4302126292.45303</v>
      </c>
      <c r="S64" s="37">
        <f t="shared" si="13"/>
        <v>4463032674.443896</v>
      </c>
      <c r="T64" s="37">
        <f t="shared" si="13"/>
        <v>4604476459.590234</v>
      </c>
      <c r="U64" s="37">
        <f t="shared" si="12"/>
        <v>4771406472.809729</v>
      </c>
      <c r="V64" s="37">
        <f t="shared" si="11"/>
        <v>4845697924.629493</v>
      </c>
      <c r="W64" s="37">
        <f t="shared" si="11"/>
        <v>4799790843.033103</v>
      </c>
      <c r="X64" s="37">
        <f t="shared" si="11"/>
        <v>4810037390.334713</v>
      </c>
    </row>
    <row r="65" spans="1:24" ht="12.75">
      <c r="A65" s="32" t="s">
        <v>81</v>
      </c>
      <c r="B65" s="119" t="s">
        <v>212</v>
      </c>
      <c r="C65" s="119" t="s">
        <v>212</v>
      </c>
      <c r="D65" s="33">
        <f t="shared" si="8"/>
        <v>306035000000</v>
      </c>
      <c r="E65" s="33">
        <f aca="true" t="shared" si="14" ref="E65:T65">+E20*10^9</f>
        <v>313500000000</v>
      </c>
      <c r="F65" s="33">
        <f t="shared" si="14"/>
        <v>318848999999.99994</v>
      </c>
      <c r="G65" s="33">
        <f t="shared" si="14"/>
        <v>322859000000</v>
      </c>
      <c r="H65" s="33">
        <f t="shared" si="14"/>
        <v>332419000000</v>
      </c>
      <c r="I65" s="37">
        <f t="shared" si="14"/>
        <v>342777000000</v>
      </c>
      <c r="J65" s="37">
        <f t="shared" si="14"/>
        <v>354454000000</v>
      </c>
      <c r="K65" s="37">
        <f t="shared" si="14"/>
        <v>369618000000</v>
      </c>
      <c r="L65" s="37">
        <f t="shared" si="14"/>
        <v>384120000000</v>
      </c>
      <c r="M65" s="37">
        <f t="shared" si="14"/>
        <v>402113000000</v>
      </c>
      <c r="N65" s="37">
        <f t="shared" si="14"/>
        <v>417960000000</v>
      </c>
      <c r="O65" s="37">
        <f t="shared" si="14"/>
        <v>426009000000</v>
      </c>
      <c r="P65" s="37">
        <f t="shared" si="14"/>
        <v>426334000000</v>
      </c>
      <c r="Q65" s="37">
        <f t="shared" si="14"/>
        <v>427765000000</v>
      </c>
      <c r="R65" s="37">
        <f t="shared" si="14"/>
        <v>437332000000.00006</v>
      </c>
      <c r="S65" s="37">
        <f t="shared" si="14"/>
        <v>446282000000.00006</v>
      </c>
      <c r="T65" s="37">
        <f t="shared" si="14"/>
        <v>461349000000.00006</v>
      </c>
      <c r="U65" s="37">
        <f t="shared" si="12"/>
        <v>477315000000.00006</v>
      </c>
      <c r="V65" s="37">
        <f t="shared" si="11"/>
        <v>487424000000.00006</v>
      </c>
      <c r="W65" s="37">
        <f t="shared" si="11"/>
        <v>470607823635.33624</v>
      </c>
      <c r="X65" s="37">
        <f t="shared" si="11"/>
        <v>468658789721.4905</v>
      </c>
    </row>
    <row r="66" spans="1:24" ht="12.75">
      <c r="A66" s="32" t="s">
        <v>82</v>
      </c>
      <c r="B66" s="119" t="s">
        <v>210</v>
      </c>
      <c r="C66" s="119" t="s">
        <v>210</v>
      </c>
      <c r="D66" s="33">
        <f t="shared" si="8"/>
        <v>161727050000</v>
      </c>
      <c r="E66" s="33">
        <f aca="true" t="shared" si="15" ref="E66:T66">+E21*10^9</f>
        <v>167125920000</v>
      </c>
      <c r="F66" s="33">
        <f t="shared" si="15"/>
        <v>170280910000</v>
      </c>
      <c r="G66" s="33">
        <f t="shared" si="15"/>
        <v>170918320000</v>
      </c>
      <c r="H66" s="33">
        <f t="shared" si="15"/>
        <v>174700620000</v>
      </c>
      <c r="I66" s="37">
        <f t="shared" si="15"/>
        <v>179136470000</v>
      </c>
      <c r="J66" s="37">
        <f t="shared" si="15"/>
        <v>183131060000.00003</v>
      </c>
      <c r="K66" s="37">
        <f t="shared" si="15"/>
        <v>187023720000.00003</v>
      </c>
      <c r="L66" s="37">
        <f t="shared" si="15"/>
        <v>193747650000.00006</v>
      </c>
      <c r="M66" s="37">
        <f t="shared" si="15"/>
        <v>200218790000.00003</v>
      </c>
      <c r="N66" s="37">
        <f t="shared" si="15"/>
        <v>207528810000</v>
      </c>
      <c r="O66" s="37">
        <f t="shared" si="15"/>
        <v>208608150000</v>
      </c>
      <c r="P66" s="37">
        <f t="shared" si="15"/>
        <v>212044789999.99997</v>
      </c>
      <c r="Q66" s="37">
        <f t="shared" si="15"/>
        <v>213743500000</v>
      </c>
      <c r="R66" s="37">
        <f t="shared" si="15"/>
        <v>219182390000</v>
      </c>
      <c r="S66" s="37">
        <f t="shared" si="15"/>
        <v>225482719999.99997</v>
      </c>
      <c r="T66" s="37">
        <f t="shared" si="15"/>
        <v>233091069999.99997</v>
      </c>
      <c r="U66" s="37">
        <f t="shared" si="12"/>
        <v>240235790000</v>
      </c>
      <c r="V66" s="37">
        <f t="shared" si="11"/>
        <v>244471549999.99994</v>
      </c>
      <c r="W66" s="37">
        <f t="shared" si="11"/>
        <v>234672081493.63925</v>
      </c>
      <c r="X66" s="37">
        <f t="shared" si="11"/>
        <v>234440507610.33676</v>
      </c>
    </row>
    <row r="67" spans="1:24" ht="12.75">
      <c r="A67" s="32" t="s">
        <v>83</v>
      </c>
      <c r="B67" s="119" t="s">
        <v>212</v>
      </c>
      <c r="C67" s="119" t="s">
        <v>212</v>
      </c>
      <c r="D67" s="33">
        <f t="shared" si="8"/>
        <v>128132482586.93773</v>
      </c>
      <c r="E67" s="33">
        <f aca="true" t="shared" si="16" ref="E67:T67">+E22*10^9</f>
        <v>119143244080.0434</v>
      </c>
      <c r="F67" s="33">
        <f t="shared" si="16"/>
        <v>122139673786.60881</v>
      </c>
      <c r="G67" s="33">
        <f t="shared" si="16"/>
        <v>126705631784.23114</v>
      </c>
      <c r="H67" s="33">
        <f t="shared" si="16"/>
        <v>133411903945.51476</v>
      </c>
      <c r="I67" s="37">
        <f t="shared" si="16"/>
        <v>142686522735.51077</v>
      </c>
      <c r="J67" s="37">
        <f t="shared" si="16"/>
        <v>151588617388.19586</v>
      </c>
      <c r="K67" s="37">
        <f t="shared" si="16"/>
        <v>162330611995.99814</v>
      </c>
      <c r="L67" s="37">
        <f t="shared" si="16"/>
        <v>170417329357.03397</v>
      </c>
      <c r="M67" s="37">
        <f t="shared" si="16"/>
        <v>178127348531.82413</v>
      </c>
      <c r="N67" s="37">
        <f t="shared" si="16"/>
        <v>185715222158.96973</v>
      </c>
      <c r="O67" s="37">
        <f t="shared" si="16"/>
        <v>187953650717.05487</v>
      </c>
      <c r="P67" s="37">
        <f t="shared" si="16"/>
        <v>190666759856.34958</v>
      </c>
      <c r="Q67" s="37">
        <f t="shared" si="16"/>
        <v>198040146520.56766</v>
      </c>
      <c r="R67" s="37">
        <f t="shared" si="16"/>
        <v>208624997056.6361</v>
      </c>
      <c r="S67" s="37">
        <f t="shared" si="16"/>
        <v>216171066059.48474</v>
      </c>
      <c r="T67" s="37">
        <f t="shared" si="16"/>
        <v>229633090672.4088</v>
      </c>
      <c r="U67" s="37">
        <f t="shared" si="12"/>
        <v>244892629303.34213</v>
      </c>
      <c r="V67" s="37">
        <f t="shared" si="11"/>
        <v>256557718716.16333</v>
      </c>
      <c r="W67" s="37">
        <f t="shared" si="11"/>
        <v>253045325659.2142</v>
      </c>
      <c r="X67" s="37">
        <f t="shared" si="11"/>
        <v>255098551643.5845</v>
      </c>
    </row>
    <row r="68" spans="1:24" ht="12.75">
      <c r="A68" s="32" t="s">
        <v>84</v>
      </c>
      <c r="B68" s="119" t="s">
        <v>210</v>
      </c>
      <c r="C68" s="119" t="s">
        <v>210</v>
      </c>
      <c r="D68" s="33">
        <f t="shared" si="8"/>
        <v>91984939555.03163</v>
      </c>
      <c r="E68" s="33">
        <f aca="true" t="shared" si="17" ref="E68:T68">+E23*10^9</f>
        <v>96003031049.36195</v>
      </c>
      <c r="F68" s="33">
        <f t="shared" si="17"/>
        <v>97048962066.91743</v>
      </c>
      <c r="G68" s="33">
        <f t="shared" si="17"/>
        <v>95065977908.98322</v>
      </c>
      <c r="H68" s="33">
        <f t="shared" si="17"/>
        <v>95983217058.97491</v>
      </c>
      <c r="I68" s="37">
        <f t="shared" si="17"/>
        <v>100093963725.8526</v>
      </c>
      <c r="J68" s="37">
        <f t="shared" si="17"/>
        <v>103716069650.60928</v>
      </c>
      <c r="K68" s="37">
        <f t="shared" si="17"/>
        <v>108057376751.77882</v>
      </c>
      <c r="L68" s="37">
        <f t="shared" si="17"/>
        <v>113300285327.71733</v>
      </c>
      <c r="M68" s="37">
        <f t="shared" si="17"/>
        <v>117652692447.04341</v>
      </c>
      <c r="N68" s="37">
        <f t="shared" si="17"/>
        <v>122270200000</v>
      </c>
      <c r="O68" s="37">
        <f t="shared" si="17"/>
        <v>124735504032.55092</v>
      </c>
      <c r="P68" s="37">
        <f t="shared" si="17"/>
        <v>125682605581.74532</v>
      </c>
      <c r="Q68" s="37">
        <f t="shared" si="17"/>
        <v>124670503926.22885</v>
      </c>
      <c r="R68" s="37">
        <f t="shared" si="17"/>
        <v>126559807016.60262</v>
      </c>
      <c r="S68" s="37">
        <f t="shared" si="17"/>
        <v>127711408900.30261</v>
      </c>
      <c r="T68" s="37">
        <f t="shared" si="17"/>
        <v>129458411757.91281</v>
      </c>
      <c r="U68" s="37">
        <f t="shared" si="12"/>
        <v>131965215858.34628</v>
      </c>
      <c r="V68" s="37">
        <f t="shared" si="11"/>
        <v>131958115846.73262</v>
      </c>
      <c r="W68" s="37">
        <f t="shared" si="11"/>
        <v>127133434106.72954</v>
      </c>
      <c r="X68" s="37">
        <f t="shared" si="11"/>
        <v>126165105405.86057</v>
      </c>
    </row>
    <row r="69" spans="1:24" ht="12.75">
      <c r="A69" s="32" t="s">
        <v>85</v>
      </c>
      <c r="B69" s="119" t="s">
        <v>212</v>
      </c>
      <c r="C69" s="119" t="s">
        <v>212</v>
      </c>
      <c r="D69" s="33">
        <f t="shared" si="8"/>
        <v>48291395580.08248</v>
      </c>
      <c r="E69" s="33">
        <f aca="true" t="shared" si="18" ref="E69:T69">+E24*10^9</f>
        <v>41974496996.34703</v>
      </c>
      <c r="F69" s="33">
        <f t="shared" si="18"/>
        <v>38312635905.902016</v>
      </c>
      <c r="G69" s="33">
        <f t="shared" si="18"/>
        <v>38895375044.950096</v>
      </c>
      <c r="H69" s="33">
        <f t="shared" si="18"/>
        <v>40425762451.582924</v>
      </c>
      <c r="I69" s="37">
        <f t="shared" si="18"/>
        <v>43311871092.839645</v>
      </c>
      <c r="J69" s="37">
        <f t="shared" si="18"/>
        <v>45021878077.92199</v>
      </c>
      <c r="K69" s="37">
        <f t="shared" si="18"/>
        <v>42296663863.329384</v>
      </c>
      <c r="L69" s="37">
        <f t="shared" si="18"/>
        <v>40259021345.48518</v>
      </c>
      <c r="M69" s="37">
        <f t="shared" si="18"/>
        <v>39796040370.56921</v>
      </c>
      <c r="N69" s="37">
        <f t="shared" si="18"/>
        <v>40651254372.24132</v>
      </c>
      <c r="O69" s="37">
        <f t="shared" si="18"/>
        <v>42959781164.47018</v>
      </c>
      <c r="P69" s="37">
        <f t="shared" si="18"/>
        <v>45140846243.43836</v>
      </c>
      <c r="Q69" s="37">
        <f t="shared" si="18"/>
        <v>47504744588.29545</v>
      </c>
      <c r="R69" s="37">
        <f t="shared" si="18"/>
        <v>51538016933.51704</v>
      </c>
      <c r="S69" s="37">
        <f t="shared" si="18"/>
        <v>53678725579.69802</v>
      </c>
      <c r="T69" s="37">
        <f t="shared" si="18"/>
        <v>57905818448.52861</v>
      </c>
      <c r="U69" s="37">
        <f t="shared" si="12"/>
        <v>61523056655.24464</v>
      </c>
      <c r="V69" s="37">
        <f t="shared" si="11"/>
        <v>65875920808.846886</v>
      </c>
      <c r="W69" s="37">
        <f t="shared" si="11"/>
        <v>63230779821.27814</v>
      </c>
      <c r="X69" s="37">
        <f t="shared" si="11"/>
        <v>63231007592.69444</v>
      </c>
    </row>
    <row r="70" spans="1:24" ht="12.75">
      <c r="A70" s="32" t="s">
        <v>86</v>
      </c>
      <c r="B70" s="119" t="s">
        <v>212</v>
      </c>
      <c r="C70" s="119" t="s">
        <v>212</v>
      </c>
      <c r="D70" s="33">
        <f t="shared" si="8"/>
        <v>17831175348.228382</v>
      </c>
      <c r="E70" s="33">
        <f aca="true" t="shared" si="19" ref="E70:T70">+E25*10^9</f>
        <v>16244181471.548681</v>
      </c>
      <c r="F70" s="33">
        <f t="shared" si="19"/>
        <v>15356648147.964922</v>
      </c>
      <c r="G70" s="33">
        <f t="shared" si="19"/>
        <v>15793301983.13524</v>
      </c>
      <c r="H70" s="33">
        <f t="shared" si="19"/>
        <v>16634688426.234497</v>
      </c>
      <c r="I70" s="37">
        <f t="shared" si="19"/>
        <v>17317901516.98094</v>
      </c>
      <c r="J70" s="37">
        <f t="shared" si="19"/>
        <v>17936647367.750797</v>
      </c>
      <c r="K70" s="37">
        <f t="shared" si="19"/>
        <v>18816777298.093063</v>
      </c>
      <c r="L70" s="37">
        <f t="shared" si="19"/>
        <v>19487948425.738464</v>
      </c>
      <c r="M70" s="37">
        <f t="shared" si="19"/>
        <v>20533647123.204277</v>
      </c>
      <c r="N70" s="37">
        <f t="shared" si="19"/>
        <v>21434828353.884846</v>
      </c>
      <c r="O70" s="37">
        <f t="shared" si="19"/>
        <v>22045536435.434628</v>
      </c>
      <c r="P70" s="37">
        <f t="shared" si="19"/>
        <v>22921560492.32248</v>
      </c>
      <c r="Q70" s="37">
        <f t="shared" si="19"/>
        <v>23571436750.86534</v>
      </c>
      <c r="R70" s="37">
        <f t="shared" si="19"/>
        <v>24581829576.028244</v>
      </c>
      <c r="S70" s="37">
        <f t="shared" si="19"/>
        <v>25650794889.735725</v>
      </c>
      <c r="T70" s="37">
        <f t="shared" si="19"/>
        <v>27164876320.844273</v>
      </c>
      <c r="U70" s="37">
        <f aca="true" t="shared" si="20" ref="U70:X78">+U25*10^9</f>
        <v>29002463464.920242</v>
      </c>
      <c r="V70" s="37">
        <f t="shared" si="20"/>
        <v>30029326177.951115</v>
      </c>
      <c r="W70" s="37">
        <f t="shared" si="20"/>
        <v>29005208272.79617</v>
      </c>
      <c r="X70" s="37">
        <f t="shared" si="20"/>
        <v>29220576719.70282</v>
      </c>
    </row>
    <row r="71" spans="1:24" ht="12.75">
      <c r="A71" s="32" t="s">
        <v>129</v>
      </c>
      <c r="B71" s="119" t="s">
        <v>210</v>
      </c>
      <c r="C71" s="119" t="s">
        <v>210</v>
      </c>
      <c r="D71" s="33">
        <f t="shared" si="8"/>
        <v>15490670018.6515</v>
      </c>
      <c r="E71" s="33">
        <f aca="true" t="shared" si="21" ref="E71:T71">+E26*10^9</f>
        <v>15490670018.6515</v>
      </c>
      <c r="F71" s="33">
        <f t="shared" si="21"/>
        <v>15490670018.6515</v>
      </c>
      <c r="G71" s="33">
        <f t="shared" si="21"/>
        <v>16592027288.569223</v>
      </c>
      <c r="H71" s="33">
        <f t="shared" si="21"/>
        <v>17621644851.04034</v>
      </c>
      <c r="I71" s="37">
        <f t="shared" si="21"/>
        <v>18651360359.36411</v>
      </c>
      <c r="J71" s="37">
        <f t="shared" si="21"/>
        <v>19946017881.377144</v>
      </c>
      <c r="K71" s="37">
        <f t="shared" si="21"/>
        <v>20821978885.3415</v>
      </c>
      <c r="L71" s="37">
        <f t="shared" si="21"/>
        <v>21736239140.12502</v>
      </c>
      <c r="M71" s="37">
        <f t="shared" si="21"/>
        <v>21743056067.33877</v>
      </c>
      <c r="N71" s="37">
        <f t="shared" si="21"/>
        <v>22038298316.40649</v>
      </c>
      <c r="O71" s="37">
        <f t="shared" si="21"/>
        <v>22787799663.35478</v>
      </c>
      <c r="P71" s="37">
        <f t="shared" si="21"/>
        <v>23870545507.137066</v>
      </c>
      <c r="Q71" s="37">
        <f t="shared" si="21"/>
        <v>25000635051.848866</v>
      </c>
      <c r="R71" s="37">
        <f t="shared" si="21"/>
        <v>26289437370.81938</v>
      </c>
      <c r="S71" s="37">
        <f t="shared" si="21"/>
        <v>28010174058.195576</v>
      </c>
      <c r="T71" s="37">
        <f t="shared" si="21"/>
        <v>30389642302.35854</v>
      </c>
      <c r="U71" s="37">
        <f t="shared" si="20"/>
        <v>33556918215.79022</v>
      </c>
      <c r="V71" s="37">
        <f t="shared" si="20"/>
        <v>35701421687.61784</v>
      </c>
      <c r="W71" s="37">
        <f t="shared" si="20"/>
        <v>34787978014.04692</v>
      </c>
      <c r="X71" s="37">
        <f t="shared" si="20"/>
        <v>35028821341.54928</v>
      </c>
    </row>
    <row r="72" spans="1:24" ht="12.75">
      <c r="A72" s="32" t="s">
        <v>87</v>
      </c>
      <c r="B72" s="119" t="s">
        <v>210</v>
      </c>
      <c r="C72" s="119" t="s">
        <v>210</v>
      </c>
      <c r="D72" s="33">
        <f t="shared" si="8"/>
        <v>108559000000</v>
      </c>
      <c r="E72" s="33">
        <f aca="true" t="shared" si="22" ref="E72:T72">+E27*10^9</f>
        <v>101780000000</v>
      </c>
      <c r="F72" s="33">
        <f t="shared" si="22"/>
        <v>97978000000</v>
      </c>
      <c r="G72" s="33">
        <f t="shared" si="22"/>
        <v>97077000000</v>
      </c>
      <c r="H72" s="33">
        <f t="shared" si="22"/>
        <v>100546000000</v>
      </c>
      <c r="I72" s="37">
        <f t="shared" si="22"/>
        <v>104490000000.00002</v>
      </c>
      <c r="J72" s="37">
        <f t="shared" si="22"/>
        <v>108356000000.00002</v>
      </c>
      <c r="K72" s="37">
        <f t="shared" si="22"/>
        <v>115074000000.00002</v>
      </c>
      <c r="L72" s="37">
        <f t="shared" si="22"/>
        <v>121087000000</v>
      </c>
      <c r="M72" s="37">
        <f t="shared" si="22"/>
        <v>125835000000</v>
      </c>
      <c r="N72" s="37">
        <f t="shared" si="22"/>
        <v>132198000000</v>
      </c>
      <c r="O72" s="37">
        <f t="shared" si="22"/>
        <v>135774000000</v>
      </c>
      <c r="P72" s="37">
        <f t="shared" si="22"/>
        <v>137910000000</v>
      </c>
      <c r="Q72" s="37">
        <f t="shared" si="22"/>
        <v>140407000000</v>
      </c>
      <c r="R72" s="37">
        <f t="shared" si="22"/>
        <v>145597000000</v>
      </c>
      <c r="S72" s="37">
        <f t="shared" si="22"/>
        <v>149628000000</v>
      </c>
      <c r="T72" s="37">
        <f t="shared" si="22"/>
        <v>156994000000</v>
      </c>
      <c r="U72" s="37">
        <f t="shared" si="20"/>
        <v>163592000000</v>
      </c>
      <c r="V72" s="37">
        <f t="shared" si="20"/>
        <v>165095000000</v>
      </c>
      <c r="W72" s="37">
        <f t="shared" si="20"/>
        <v>157415664126.60342</v>
      </c>
      <c r="X72" s="37">
        <f t="shared" si="20"/>
        <v>157739767715.84906</v>
      </c>
    </row>
    <row r="73" spans="1:24" ht="12.75">
      <c r="A73" s="32" t="s">
        <v>88</v>
      </c>
      <c r="B73" s="119" t="s">
        <v>212</v>
      </c>
      <c r="C73" s="119" t="s">
        <v>212</v>
      </c>
      <c r="D73" s="33">
        <f t="shared" si="8"/>
        <v>218628756236.3611</v>
      </c>
      <c r="E73" s="33">
        <f aca="true" t="shared" si="23" ref="E73:T73">+E28*10^9</f>
        <v>216177301109.02606</v>
      </c>
      <c r="F73" s="33">
        <f t="shared" si="23"/>
        <v>213575582901.1429</v>
      </c>
      <c r="G73" s="33">
        <f t="shared" si="23"/>
        <v>209180654219.01157</v>
      </c>
      <c r="H73" s="33">
        <f t="shared" si="23"/>
        <v>217436716494.9284</v>
      </c>
      <c r="I73" s="37">
        <f t="shared" si="23"/>
        <v>226075600314.90524</v>
      </c>
      <c r="J73" s="37">
        <f t="shared" si="23"/>
        <v>229377480536.4063</v>
      </c>
      <c r="K73" s="37">
        <f t="shared" si="23"/>
        <v>235020812416.50388</v>
      </c>
      <c r="L73" s="37">
        <f t="shared" si="23"/>
        <v>243984378164.66272</v>
      </c>
      <c r="M73" s="37">
        <f t="shared" si="23"/>
        <v>255196443232.38702</v>
      </c>
      <c r="N73" s="37">
        <f t="shared" si="23"/>
        <v>266422362342.99878</v>
      </c>
      <c r="O73" s="37">
        <f t="shared" si="23"/>
        <v>269240416759.04697</v>
      </c>
      <c r="P73" s="37">
        <f t="shared" si="23"/>
        <v>275732634395.212</v>
      </c>
      <c r="Q73" s="37">
        <f t="shared" si="23"/>
        <v>281006288310.39905</v>
      </c>
      <c r="R73" s="37">
        <f t="shared" si="23"/>
        <v>292603543134.64276</v>
      </c>
      <c r="S73" s="37">
        <f t="shared" si="23"/>
        <v>302254600959.76184</v>
      </c>
      <c r="T73" s="37">
        <f t="shared" si="23"/>
        <v>315089720436.5274</v>
      </c>
      <c r="U73" s="37">
        <f t="shared" si="20"/>
        <v>323155141609.4635</v>
      </c>
      <c r="V73" s="37">
        <f t="shared" si="20"/>
        <v>322415312037.1508</v>
      </c>
      <c r="W73" s="37">
        <f t="shared" si="20"/>
        <v>309411169962.2331</v>
      </c>
      <c r="X73" s="37">
        <f t="shared" si="20"/>
        <v>311770244752.5327</v>
      </c>
    </row>
    <row r="74" spans="1:24" ht="12.75">
      <c r="A74" s="32" t="s">
        <v>23</v>
      </c>
      <c r="B74" s="119" t="s">
        <v>210</v>
      </c>
      <c r="C74" s="119" t="s">
        <v>210</v>
      </c>
      <c r="D74" s="33">
        <f t="shared" si="8"/>
        <v>1247583094922.4368</v>
      </c>
      <c r="E74" s="33">
        <f aca="true" t="shared" si="24" ref="E74:T74">+E29*10^9</f>
        <v>1230211261751.4307</v>
      </c>
      <c r="F74" s="33">
        <f t="shared" si="24"/>
        <v>1232015126054.0688</v>
      </c>
      <c r="G74" s="33">
        <f t="shared" si="24"/>
        <v>1259393643177.1782</v>
      </c>
      <c r="H74" s="33">
        <f t="shared" si="24"/>
        <v>1313297886587.951</v>
      </c>
      <c r="I74" s="37">
        <f t="shared" si="24"/>
        <v>1353258092614.8765</v>
      </c>
      <c r="J74" s="37">
        <f t="shared" si="24"/>
        <v>1392221863959.9587</v>
      </c>
      <c r="K74" s="37">
        <f t="shared" si="24"/>
        <v>1438265008871.64</v>
      </c>
      <c r="L74" s="37">
        <f t="shared" si="24"/>
        <v>1490124973542.1213</v>
      </c>
      <c r="M74" s="37">
        <f t="shared" si="24"/>
        <v>1541880607418.9048</v>
      </c>
      <c r="N74" s="37">
        <f t="shared" si="24"/>
        <v>1602245799836.5278</v>
      </c>
      <c r="O74" s="37">
        <f t="shared" si="24"/>
        <v>1641690400056.9155</v>
      </c>
      <c r="P74" s="37">
        <f t="shared" si="24"/>
        <v>1676108977693.9255</v>
      </c>
      <c r="Q74" s="37">
        <f t="shared" si="24"/>
        <v>1723342098469.9622</v>
      </c>
      <c r="R74" s="37">
        <f t="shared" si="24"/>
        <v>1770868555100.7449</v>
      </c>
      <c r="S74" s="37">
        <f t="shared" si="24"/>
        <v>1807305706789.743</v>
      </c>
      <c r="T74" s="37">
        <f t="shared" si="24"/>
        <v>1858594120155.617</v>
      </c>
      <c r="U74" s="37">
        <f t="shared" si="20"/>
        <v>1914767936339.4487</v>
      </c>
      <c r="V74" s="37">
        <f t="shared" si="20"/>
        <v>1928303722791.4326</v>
      </c>
      <c r="W74" s="37">
        <f t="shared" si="20"/>
        <v>1855583704565.1873</v>
      </c>
      <c r="X74" s="37">
        <f t="shared" si="20"/>
        <v>1858252453934.5327</v>
      </c>
    </row>
    <row r="75" spans="1:24" ht="12.75">
      <c r="A75" s="32" t="s">
        <v>89</v>
      </c>
      <c r="B75" s="119" t="s">
        <v>212</v>
      </c>
      <c r="C75" s="119" t="s">
        <v>212</v>
      </c>
      <c r="D75" s="33">
        <f t="shared" si="8"/>
        <v>202259191414.20236</v>
      </c>
      <c r="E75" s="33">
        <f aca="true" t="shared" si="25" ref="E75:T75">+E30*10^9</f>
        <v>204133154522.59125</v>
      </c>
      <c r="F75" s="33">
        <f t="shared" si="25"/>
        <v>216349057015.56787</v>
      </c>
      <c r="G75" s="33">
        <f t="shared" si="25"/>
        <v>233747904806.68524</v>
      </c>
      <c r="H75" s="33">
        <f t="shared" si="25"/>
        <v>220995384414.7172</v>
      </c>
      <c r="I75" s="37">
        <f t="shared" si="25"/>
        <v>236887659456.39572</v>
      </c>
      <c r="J75" s="37">
        <f t="shared" si="25"/>
        <v>253482388002.50308</v>
      </c>
      <c r="K75" s="37">
        <f t="shared" si="25"/>
        <v>272566588878.5162</v>
      </c>
      <c r="L75" s="37">
        <f t="shared" si="25"/>
        <v>280993977311.3917</v>
      </c>
      <c r="M75" s="37">
        <f t="shared" si="25"/>
        <v>271537563478.70193</v>
      </c>
      <c r="N75" s="37">
        <f t="shared" si="25"/>
        <v>289932754356.53143</v>
      </c>
      <c r="O75" s="37">
        <f t="shared" si="25"/>
        <v>273413903903.58298</v>
      </c>
      <c r="P75" s="37">
        <f t="shared" si="25"/>
        <v>290266698485.8562</v>
      </c>
      <c r="Q75" s="37">
        <f t="shared" si="25"/>
        <v>305550010407.64386</v>
      </c>
      <c r="R75" s="37">
        <f t="shared" si="25"/>
        <v>334158069868.7081</v>
      </c>
      <c r="S75" s="37">
        <f t="shared" si="25"/>
        <v>362232753942.5607</v>
      </c>
      <c r="T75" s="37">
        <f t="shared" si="25"/>
        <v>387203230252.3186</v>
      </c>
      <c r="U75" s="37">
        <f t="shared" si="20"/>
        <v>405280120499.09454</v>
      </c>
      <c r="V75" s="37">
        <f t="shared" si="20"/>
        <v>409576782902.61536</v>
      </c>
      <c r="W75" s="37">
        <f t="shared" si="20"/>
        <v>394487157876.4808</v>
      </c>
      <c r="X75" s="37">
        <f t="shared" si="20"/>
        <v>402973435950.04297</v>
      </c>
    </row>
    <row r="76" spans="1:24" ht="12.75">
      <c r="A76" s="32" t="s">
        <v>92</v>
      </c>
      <c r="B76" s="119" t="s">
        <v>210</v>
      </c>
      <c r="C76" s="119" t="s">
        <v>212</v>
      </c>
      <c r="D76" s="33">
        <f t="shared" si="8"/>
        <v>243666007568.86026</v>
      </c>
      <c r="E76" s="33">
        <f aca="true" t="shared" si="26" ref="E76:T76">+E31*10^9</f>
        <v>241360445636.88895</v>
      </c>
      <c r="F76" s="33">
        <f t="shared" si="26"/>
        <v>241601372474.55728</v>
      </c>
      <c r="G76" s="33">
        <f t="shared" si="26"/>
        <v>241153706749.48898</v>
      </c>
      <c r="H76" s="33">
        <f t="shared" si="26"/>
        <v>244025417543.2265</v>
      </c>
      <c r="I76" s="37">
        <f t="shared" si="26"/>
        <v>244880084204.60043</v>
      </c>
      <c r="J76" s="37">
        <f t="shared" si="26"/>
        <v>246418972044.15732</v>
      </c>
      <c r="K76" s="37">
        <f t="shared" si="26"/>
        <v>251533806506.20486</v>
      </c>
      <c r="L76" s="37">
        <f t="shared" si="26"/>
        <v>258170742947.88596</v>
      </c>
      <c r="M76" s="37">
        <f t="shared" si="26"/>
        <v>261555709492.19714</v>
      </c>
      <c r="N76" s="37">
        <f t="shared" si="26"/>
        <v>270924908918.44766</v>
      </c>
      <c r="O76" s="37">
        <f t="shared" si="26"/>
        <v>274046173775.7567</v>
      </c>
      <c r="P76" s="37">
        <f t="shared" si="26"/>
        <v>275260584202.9752</v>
      </c>
      <c r="Q76" s="37">
        <f t="shared" si="26"/>
        <v>274716138206.37186</v>
      </c>
      <c r="R76" s="37">
        <f t="shared" si="26"/>
        <v>281673861096.9282</v>
      </c>
      <c r="S76" s="37">
        <f t="shared" si="26"/>
        <v>288725257430.6437</v>
      </c>
      <c r="T76" s="37">
        <f t="shared" si="26"/>
        <v>298494345467.0831</v>
      </c>
      <c r="U76" s="37">
        <f t="shared" si="20"/>
        <v>308422151351.50134</v>
      </c>
      <c r="V76" s="37">
        <f t="shared" si="20"/>
        <v>313456394428.7162</v>
      </c>
      <c r="W76" s="37">
        <f t="shared" si="20"/>
        <v>303442688409.25964</v>
      </c>
      <c r="X76" s="37">
        <f t="shared" si="20"/>
        <v>301991543979.4312</v>
      </c>
    </row>
    <row r="77" spans="1:24" ht="12.75">
      <c r="A77" s="32" t="s">
        <v>91</v>
      </c>
      <c r="B77" s="119" t="s">
        <v>210</v>
      </c>
      <c r="C77" s="119" t="s">
        <v>212</v>
      </c>
      <c r="D77" s="33">
        <f t="shared" si="8"/>
        <v>126899334547.07031</v>
      </c>
      <c r="E77" s="33">
        <f aca="true" t="shared" si="27" ref="E77:T77">+E32*10^9</f>
        <v>130839161962.25954</v>
      </c>
      <c r="F77" s="33">
        <f t="shared" si="27"/>
        <v>135448785306.37202</v>
      </c>
      <c r="G77" s="33">
        <f t="shared" si="27"/>
        <v>139223222184.67697</v>
      </c>
      <c r="H77" s="33">
        <f t="shared" si="27"/>
        <v>146255882222.05048</v>
      </c>
      <c r="I77" s="37">
        <f t="shared" si="27"/>
        <v>152378734068.29987</v>
      </c>
      <c r="J77" s="37">
        <f t="shared" si="27"/>
        <v>160149673401.93375</v>
      </c>
      <c r="K77" s="37">
        <f t="shared" si="27"/>
        <v>168785862364.2504</v>
      </c>
      <c r="L77" s="37">
        <f t="shared" si="27"/>
        <v>173314072346.0048</v>
      </c>
      <c r="M77" s="37">
        <f t="shared" si="27"/>
        <v>176825077524.03467</v>
      </c>
      <c r="N77" s="37">
        <f t="shared" si="27"/>
        <v>182578062486.9716</v>
      </c>
      <c r="O77" s="37">
        <f t="shared" si="27"/>
        <v>186211649934.29</v>
      </c>
      <c r="P77" s="37">
        <f t="shared" si="27"/>
        <v>189008756683.6968</v>
      </c>
      <c r="Q77" s="37">
        <f t="shared" si="27"/>
        <v>190924479044.18964</v>
      </c>
      <c r="R77" s="37">
        <f t="shared" si="27"/>
        <v>198301984144.19632</v>
      </c>
      <c r="S77" s="37">
        <f t="shared" si="27"/>
        <v>203733876285.1154</v>
      </c>
      <c r="T77" s="37">
        <f t="shared" si="27"/>
        <v>208380810491.8862</v>
      </c>
      <c r="U77" s="37">
        <f t="shared" si="20"/>
        <v>214911801513.6694</v>
      </c>
      <c r="V77" s="37">
        <f t="shared" si="20"/>
        <v>219238296177.48434</v>
      </c>
      <c r="W77" s="37">
        <f t="shared" si="20"/>
        <v>211812776265.74088</v>
      </c>
      <c r="X77" s="37">
        <f t="shared" si="20"/>
        <v>212249987610.99936</v>
      </c>
    </row>
    <row r="78" spans="1:24" ht="12.75">
      <c r="A78" s="34" t="s">
        <v>90</v>
      </c>
      <c r="B78" s="119" t="s">
        <v>212</v>
      </c>
      <c r="C78" s="119" t="s">
        <v>212</v>
      </c>
      <c r="D78" s="33">
        <f t="shared" si="8"/>
        <v>7325338818.98764</v>
      </c>
      <c r="E78" s="33">
        <f aca="true" t="shared" si="28" ref="E78:T78">+E33*10^9</f>
        <v>7308944224.962347</v>
      </c>
      <c r="F78" s="33">
        <f t="shared" si="28"/>
        <v>7062350243.064241</v>
      </c>
      <c r="G78" s="33">
        <f t="shared" si="28"/>
        <v>7155110580.51996</v>
      </c>
      <c r="H78" s="33">
        <f t="shared" si="28"/>
        <v>7413318547.933465</v>
      </c>
      <c r="I78" s="37">
        <f t="shared" si="28"/>
        <v>7421970484.948493</v>
      </c>
      <c r="J78" s="37">
        <f t="shared" si="28"/>
        <v>7777113211.65777</v>
      </c>
      <c r="K78" s="37">
        <f t="shared" si="28"/>
        <v>8159217468.205284</v>
      </c>
      <c r="L78" s="37">
        <f t="shared" si="28"/>
        <v>8674613907.269373</v>
      </c>
      <c r="M78" s="37">
        <f t="shared" si="28"/>
        <v>9029729080.039112</v>
      </c>
      <c r="N78" s="37">
        <f t="shared" si="28"/>
        <v>9419961748.750427</v>
      </c>
      <c r="O78" s="37">
        <f t="shared" si="28"/>
        <v>9789391193.110321</v>
      </c>
      <c r="P78" s="37">
        <f t="shared" si="28"/>
        <v>9803002839.242245</v>
      </c>
      <c r="Q78" s="37">
        <f t="shared" si="28"/>
        <v>10039222762.904179</v>
      </c>
      <c r="R78" s="37">
        <f t="shared" si="28"/>
        <v>10812661845.74454</v>
      </c>
      <c r="S78" s="37">
        <f t="shared" si="28"/>
        <v>11616603139.65381</v>
      </c>
      <c r="T78" s="37">
        <f t="shared" si="28"/>
        <v>12134782526.611267</v>
      </c>
      <c r="U78" s="37">
        <f t="shared" si="20"/>
        <v>12803888617.389818</v>
      </c>
      <c r="V78" s="37">
        <f t="shared" si="20"/>
        <v>12848195352.16742</v>
      </c>
      <c r="W78" s="37">
        <f t="shared" si="20"/>
        <v>11353330569.378353</v>
      </c>
      <c r="X78" s="37">
        <f t="shared" si="20"/>
        <v>11559364535.337082</v>
      </c>
    </row>
    <row r="79" spans="1:24" ht="12.75">
      <c r="A79" s="34" t="s">
        <v>242</v>
      </c>
      <c r="B79" s="121">
        <f>COUNTIF(B48:B78,"N")</f>
        <v>16</v>
      </c>
      <c r="C79" s="121">
        <f>COUNTIF(C48:C78,"N")</f>
        <v>18</v>
      </c>
      <c r="D79" s="33"/>
      <c r="E79" s="33"/>
      <c r="F79" s="33"/>
      <c r="G79" s="33"/>
      <c r="H79" s="33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2.75">
      <c r="A80" s="36" t="s">
        <v>238</v>
      </c>
      <c r="B80" s="36"/>
      <c r="C80" s="36"/>
      <c r="D80" s="33">
        <f>SUMIF($B$48:$B$78,"Y",D48:D78)</f>
        <v>5592413542699.401</v>
      </c>
      <c r="E80" s="33">
        <f>SUMIF($B$48:$B$78,"Y",E48:E78)</f>
        <v>5682880025982.27</v>
      </c>
      <c r="F80" s="33">
        <f>SUMIF($B$48:$B$78,"Y",F48:F78)</f>
        <v>5748213163650.9375</v>
      </c>
      <c r="G80" s="33">
        <f aca="true" t="shared" si="29" ref="G80:W80">SUMIF($B$48:$B$78,"Y",G48:G78)</f>
        <v>5744749789982.259</v>
      </c>
      <c r="H80" s="33">
        <f t="shared" si="29"/>
        <v>5912429102891.928</v>
      </c>
      <c r="I80" s="33">
        <f t="shared" si="29"/>
        <v>6056195407109.957</v>
      </c>
      <c r="J80" s="33">
        <f t="shared" si="29"/>
        <v>6170011727160.87</v>
      </c>
      <c r="K80" s="33">
        <f t="shared" si="29"/>
        <v>6336328877007.078</v>
      </c>
      <c r="L80" s="33">
        <f t="shared" si="29"/>
        <v>6533444746016.231</v>
      </c>
      <c r="M80" s="33">
        <f t="shared" si="29"/>
        <v>6725231729743.41</v>
      </c>
      <c r="N80" s="33">
        <f t="shared" si="29"/>
        <v>6979562959508.063</v>
      </c>
      <c r="O80" s="33">
        <f t="shared" si="29"/>
        <v>7114952172066.197</v>
      </c>
      <c r="P80" s="33">
        <f t="shared" si="29"/>
        <v>7199438894150.049</v>
      </c>
      <c r="Q80" s="33">
        <f t="shared" si="29"/>
        <v>7291923707354.217</v>
      </c>
      <c r="R80" s="33">
        <f t="shared" si="29"/>
        <v>7463807549906.073</v>
      </c>
      <c r="S80" s="33">
        <f t="shared" si="29"/>
        <v>7610350981179.427</v>
      </c>
      <c r="T80" s="33">
        <f t="shared" si="29"/>
        <v>7836893210578.61</v>
      </c>
      <c r="U80" s="33">
        <f t="shared" si="29"/>
        <v>8056428230580.945</v>
      </c>
      <c r="V80" s="33">
        <f t="shared" si="29"/>
        <v>8138651440292.775</v>
      </c>
      <c r="W80" s="33">
        <f t="shared" si="29"/>
        <v>7813311481568.446</v>
      </c>
      <c r="X80" s="33">
        <f>SUMIF($B$48:$B$78,"Y",X48:X78)</f>
        <v>7808951944374.257</v>
      </c>
    </row>
    <row r="81" spans="1:24" ht="12.75">
      <c r="A81" s="36" t="s">
        <v>239</v>
      </c>
      <c r="B81" s="36"/>
      <c r="C81" s="36"/>
      <c r="D81" s="33">
        <f>SUMIF($C$48:$C$78,"Y",D48:D78)</f>
        <v>5221848200583.471</v>
      </c>
      <c r="E81" s="33">
        <f>SUMIF($C$48:$C$78,"Y",E48:E78)</f>
        <v>5310680418383.121</v>
      </c>
      <c r="F81" s="33">
        <f>SUMIF($C$48:$C$78,"Y",F48:F78)</f>
        <v>5371163005870.008</v>
      </c>
      <c r="G81" s="33">
        <f aca="true" t="shared" si="30" ref="G81:X81">SUMIF($C$48:$C$78,"Y",G48:G78)</f>
        <v>5364372861048.093</v>
      </c>
      <c r="H81" s="33">
        <f t="shared" si="30"/>
        <v>5522147803126.65</v>
      </c>
      <c r="I81" s="33">
        <f t="shared" si="30"/>
        <v>5658936588837.057</v>
      </c>
      <c r="J81" s="33">
        <f t="shared" si="30"/>
        <v>5763443081714.779</v>
      </c>
      <c r="K81" s="33">
        <f t="shared" si="30"/>
        <v>5916009208136.623</v>
      </c>
      <c r="L81" s="33">
        <f t="shared" si="30"/>
        <v>6101959930722.341</v>
      </c>
      <c r="M81" s="33">
        <f t="shared" si="30"/>
        <v>6286850942727.178</v>
      </c>
      <c r="N81" s="33">
        <f t="shared" si="30"/>
        <v>6526059988102.645</v>
      </c>
      <c r="O81" s="33">
        <f t="shared" si="30"/>
        <v>6654694348356.15</v>
      </c>
      <c r="P81" s="33">
        <f t="shared" si="30"/>
        <v>6735169553263.376</v>
      </c>
      <c r="Q81" s="33">
        <f t="shared" si="30"/>
        <v>6826283090103.655</v>
      </c>
      <c r="R81" s="33">
        <f t="shared" si="30"/>
        <v>6983831704664.948</v>
      </c>
      <c r="S81" s="33">
        <f t="shared" si="30"/>
        <v>7117891847463.668</v>
      </c>
      <c r="T81" s="33">
        <f t="shared" si="30"/>
        <v>7330018054619.642</v>
      </c>
      <c r="U81" s="33">
        <f t="shared" si="30"/>
        <v>7533094277715.775</v>
      </c>
      <c r="V81" s="33">
        <f t="shared" si="30"/>
        <v>7605956749686.575</v>
      </c>
      <c r="W81" s="33">
        <f t="shared" si="30"/>
        <v>7298056016893.445</v>
      </c>
      <c r="X81" s="33">
        <f t="shared" si="30"/>
        <v>7294710412783.826</v>
      </c>
    </row>
    <row r="82" spans="1:24" ht="12.75">
      <c r="A82" s="36" t="s">
        <v>34</v>
      </c>
      <c r="B82" s="36"/>
      <c r="C82" s="36"/>
      <c r="D82" s="33">
        <f>+D37*10^9</f>
        <v>7953838391110.649</v>
      </c>
      <c r="E82" s="33">
        <f aca="true" t="shared" si="31" ref="E82:S82">+E37*10^9</f>
        <v>8057691323749.31</v>
      </c>
      <c r="F82" s="33">
        <f t="shared" si="31"/>
        <v>8146415185627.414</v>
      </c>
      <c r="G82" s="33">
        <f t="shared" si="31"/>
        <v>8153808458832.864</v>
      </c>
      <c r="H82" s="33">
        <f t="shared" si="31"/>
        <v>8371897344803.15</v>
      </c>
      <c r="I82" s="37">
        <f>+I37*10^9</f>
        <v>8608131310095.499</v>
      </c>
      <c r="J82" s="37">
        <f t="shared" si="31"/>
        <v>8787688989123.579</v>
      </c>
      <c r="K82" s="37">
        <f t="shared" si="31"/>
        <v>9045301650207.67</v>
      </c>
      <c r="L82" s="37">
        <f t="shared" si="31"/>
        <v>9314512831913.404</v>
      </c>
      <c r="M82" s="37">
        <f t="shared" si="31"/>
        <v>9575670913234.016</v>
      </c>
      <c r="N82" s="37">
        <f t="shared" si="31"/>
        <v>9955190872390.348</v>
      </c>
      <c r="O82" s="37">
        <f t="shared" si="31"/>
        <v>10128101733602.465</v>
      </c>
      <c r="P82" s="37">
        <f t="shared" si="31"/>
        <v>10265942879158.457</v>
      </c>
      <c r="Q82" s="37">
        <f t="shared" si="31"/>
        <v>10409017394433.271</v>
      </c>
      <c r="R82" s="37">
        <f t="shared" si="31"/>
        <v>10690513104890.393</v>
      </c>
      <c r="S82" s="37">
        <f t="shared" si="31"/>
        <v>10925509766749.201</v>
      </c>
      <c r="T82" s="37">
        <f aca="true" t="shared" si="32" ref="E82:T83">+T37*10^9</f>
        <v>11278585800728.402</v>
      </c>
      <c r="U82" s="37">
        <f aca="true" t="shared" si="33" ref="U82:X83">+U37*10^9</f>
        <v>11609858733981.613</v>
      </c>
      <c r="V82" s="37">
        <f t="shared" si="33"/>
        <v>11715490539923.316</v>
      </c>
      <c r="W82" s="37">
        <f t="shared" si="33"/>
        <v>11252403041942.453</v>
      </c>
      <c r="X82" s="37">
        <f t="shared" si="33"/>
        <v>11256626932861.936</v>
      </c>
    </row>
    <row r="83" spans="1:24" ht="12.75">
      <c r="A83" s="36" t="s">
        <v>130</v>
      </c>
      <c r="B83" s="36"/>
      <c r="C83" s="36"/>
      <c r="D83" s="33">
        <f>+D38*10^9</f>
        <v>7373688518761.529</v>
      </c>
      <c r="E83" s="33">
        <f t="shared" si="32"/>
        <v>7474049617402.607</v>
      </c>
      <c r="F83" s="33">
        <f t="shared" si="32"/>
        <v>7545953620587.853</v>
      </c>
      <c r="G83" s="33">
        <f t="shared" si="32"/>
        <v>7532528514511.492</v>
      </c>
      <c r="H83" s="33">
        <f t="shared" si="32"/>
        <v>7753207342075.223</v>
      </c>
      <c r="I83" s="37">
        <f t="shared" si="32"/>
        <v>7966562861881.254</v>
      </c>
      <c r="J83" s="37">
        <f t="shared" si="32"/>
        <v>8119860842463.327</v>
      </c>
      <c r="K83" s="37">
        <f t="shared" si="32"/>
        <v>8344256174990.494</v>
      </c>
      <c r="L83" s="37">
        <f t="shared" si="32"/>
        <v>8593359425400.852</v>
      </c>
      <c r="M83" s="37">
        <f t="shared" si="32"/>
        <v>8856722833659.045</v>
      </c>
      <c r="N83" s="37">
        <f t="shared" si="32"/>
        <v>9202335184879.646</v>
      </c>
      <c r="O83" s="37">
        <f t="shared" si="32"/>
        <v>9384640614795.727</v>
      </c>
      <c r="P83" s="37">
        <f t="shared" si="32"/>
        <v>9501603836946.686</v>
      </c>
      <c r="Q83" s="37">
        <f t="shared" si="32"/>
        <v>9627787544012.162</v>
      </c>
      <c r="R83" s="37">
        <f t="shared" si="32"/>
        <v>9865566527934.816</v>
      </c>
      <c r="S83" s="37">
        <f t="shared" si="32"/>
        <v>10059201275951.227</v>
      </c>
      <c r="T83" s="37">
        <f t="shared" si="32"/>
        <v>10372372631990.504</v>
      </c>
      <c r="U83" s="37">
        <f t="shared" si="33"/>
        <v>10668440771999.959</v>
      </c>
      <c r="V83" s="37">
        <f t="shared" si="33"/>
        <v>10760370871062.332</v>
      </c>
      <c r="W83" s="37">
        <f t="shared" si="33"/>
        <v>10331307088821.594</v>
      </c>
      <c r="X83" s="37">
        <f t="shared" si="33"/>
        <v>10327852600786.125</v>
      </c>
    </row>
    <row r="85" ht="12.75">
      <c r="A85" s="126" t="s">
        <v>241</v>
      </c>
    </row>
    <row r="86" ht="12.75">
      <c r="A86" s="126" t="s">
        <v>240</v>
      </c>
    </row>
    <row r="87" ht="12.75">
      <c r="A87" s="126" t="s">
        <v>267</v>
      </c>
    </row>
  </sheetData>
  <sheetProtection/>
  <conditionalFormatting sqref="D40:X43">
    <cfRule type="cellIs" priority="1" dxfId="0" operator="not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209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15.7109375" style="9" customWidth="1"/>
    <col min="2" max="2" width="11.140625" style="9" customWidth="1"/>
    <col min="3" max="3" width="12.00390625" style="9" customWidth="1"/>
    <col min="4" max="4" width="9.28125" style="9" customWidth="1"/>
    <col min="5" max="5" width="8.7109375" style="9" customWidth="1"/>
    <col min="6" max="6" width="7.7109375" style="9" customWidth="1"/>
    <col min="7" max="8" width="8.140625" style="9" customWidth="1"/>
    <col min="9" max="9" width="8.28125" style="9" customWidth="1"/>
    <col min="10" max="10" width="7.8515625" style="9" customWidth="1"/>
    <col min="11" max="12" width="8.28125" style="9" customWidth="1"/>
    <col min="13" max="13" width="8.421875" style="9" customWidth="1"/>
    <col min="14" max="14" width="8.28125" style="9" customWidth="1"/>
    <col min="15" max="15" width="8.7109375" style="9" customWidth="1"/>
    <col min="16" max="16" width="8.57421875" style="9" customWidth="1"/>
    <col min="17" max="18" width="8.140625" style="9" customWidth="1"/>
    <col min="19" max="19" width="8.7109375" style="0" customWidth="1"/>
    <col min="20" max="20" width="8.00390625" style="0" customWidth="1"/>
  </cols>
  <sheetData>
    <row r="1" spans="1:4" ht="21" customHeight="1">
      <c r="A1" s="46" t="s">
        <v>256</v>
      </c>
      <c r="B1" s="46"/>
      <c r="C1" s="46"/>
      <c r="D1" s="46"/>
    </row>
    <row r="2" spans="1:4" ht="21" customHeight="1">
      <c r="A2" s="46"/>
      <c r="B2" s="46"/>
      <c r="C2" s="46"/>
      <c r="D2" s="46"/>
    </row>
    <row r="3" spans="1:20" ht="12.75">
      <c r="A3" s="54" t="s">
        <v>120</v>
      </c>
      <c r="B3" s="54" t="s">
        <v>34</v>
      </c>
      <c r="C3" s="54" t="s">
        <v>134</v>
      </c>
      <c r="D3" s="54" t="s">
        <v>28</v>
      </c>
      <c r="E3" s="60">
        <v>1992</v>
      </c>
      <c r="F3" s="60">
        <v>1993</v>
      </c>
      <c r="G3" s="60">
        <v>1994</v>
      </c>
      <c r="H3" s="60">
        <v>1995</v>
      </c>
      <c r="I3" s="60">
        <v>1996</v>
      </c>
      <c r="J3" s="60">
        <v>1997</v>
      </c>
      <c r="K3" s="60">
        <v>1998</v>
      </c>
      <c r="L3" s="60">
        <v>1999</v>
      </c>
      <c r="M3" s="60">
        <v>2000</v>
      </c>
      <c r="N3" s="60">
        <v>2001</v>
      </c>
      <c r="O3" s="60">
        <v>2002</v>
      </c>
      <c r="P3" s="60">
        <v>2003</v>
      </c>
      <c r="Q3" s="60">
        <v>2004</v>
      </c>
      <c r="R3" s="60">
        <v>2005</v>
      </c>
      <c r="S3" s="60">
        <v>2006</v>
      </c>
      <c r="T3" s="60">
        <v>2007</v>
      </c>
    </row>
    <row r="4" spans="1:22" ht="12.75">
      <c r="A4" s="50" t="s">
        <v>0</v>
      </c>
      <c r="B4" s="125" t="s">
        <v>210</v>
      </c>
      <c r="C4" s="125" t="s">
        <v>210</v>
      </c>
      <c r="D4" s="125" t="s">
        <v>210</v>
      </c>
      <c r="E4" s="51">
        <v>556.7465825599733</v>
      </c>
      <c r="F4" s="51">
        <v>466.63226819182717</v>
      </c>
      <c r="G4" s="51">
        <v>483.12900154793135</v>
      </c>
      <c r="H4" s="51">
        <v>456.74876274499826</v>
      </c>
      <c r="I4" s="51">
        <v>425.6447897211543</v>
      </c>
      <c r="J4" s="51">
        <v>366.2710842060129</v>
      </c>
      <c r="K4" s="51">
        <v>431.6039621229188</v>
      </c>
      <c r="L4" s="51">
        <v>391.5612304964281</v>
      </c>
      <c r="M4" s="51">
        <v>476.9</v>
      </c>
      <c r="N4" s="51">
        <v>641.3379809868719</v>
      </c>
      <c r="O4" s="51">
        <v>532.1</v>
      </c>
      <c r="P4" s="51">
        <v>649.9</v>
      </c>
      <c r="Q4" s="51">
        <v>719.7</v>
      </c>
      <c r="R4" s="51">
        <v>687.00892</v>
      </c>
      <c r="S4" s="51">
        <v>801.96807</v>
      </c>
      <c r="T4" s="51">
        <v>869.8860699999999</v>
      </c>
      <c r="V4" s="8"/>
    </row>
    <row r="5" spans="1:22" s="18" customFormat="1" ht="12.75">
      <c r="A5" s="50" t="s">
        <v>1</v>
      </c>
      <c r="B5" s="125" t="s">
        <v>210</v>
      </c>
      <c r="C5" s="125" t="s">
        <v>210</v>
      </c>
      <c r="D5" s="125" t="s">
        <v>212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31"/>
      <c r="T5" s="131"/>
      <c r="U5" s="130" t="s">
        <v>261</v>
      </c>
      <c r="V5" s="8"/>
    </row>
    <row r="6" spans="1:22" ht="12.75">
      <c r="A6" s="50" t="s">
        <v>2</v>
      </c>
      <c r="B6" s="125" t="s">
        <v>210</v>
      </c>
      <c r="C6" s="125" t="s">
        <v>210</v>
      </c>
      <c r="D6" s="125" t="s">
        <v>212</v>
      </c>
      <c r="E6" s="124">
        <f>F6</f>
        <v>140.8451273970446</v>
      </c>
      <c r="F6" s="51">
        <v>140.8451273970446</v>
      </c>
      <c r="G6" s="51">
        <v>224.90385582484222</v>
      </c>
      <c r="H6" s="51">
        <v>285.7226161533405</v>
      </c>
      <c r="I6" s="51">
        <v>309.8661864145627</v>
      </c>
      <c r="J6" s="51">
        <v>383.2295327754867</v>
      </c>
      <c r="K6" s="51">
        <v>373.7141757705764</v>
      </c>
      <c r="L6" s="51">
        <v>322.2710267836595</v>
      </c>
      <c r="M6" s="51">
        <v>308.56500982869983</v>
      </c>
      <c r="N6" s="51">
        <v>302.22985065868613</v>
      </c>
      <c r="O6" s="51">
        <v>518.3272750876282</v>
      </c>
      <c r="P6" s="51">
        <v>625.6060796382363</v>
      </c>
      <c r="Q6" s="51">
        <v>1031.275075225677</v>
      </c>
      <c r="R6" s="51">
        <v>1414.9429147078577</v>
      </c>
      <c r="S6" s="51">
        <v>1491.2853261828318</v>
      </c>
      <c r="T6" s="51">
        <v>1493.4298681651178</v>
      </c>
      <c r="V6" s="8"/>
    </row>
    <row r="7" spans="1:22" ht="12.75">
      <c r="A7" s="50" t="s">
        <v>3</v>
      </c>
      <c r="B7" s="125" t="s">
        <v>210</v>
      </c>
      <c r="C7" s="125" t="s">
        <v>210</v>
      </c>
      <c r="D7" s="125" t="s">
        <v>210</v>
      </c>
      <c r="E7" s="51">
        <v>190.54326599865544</v>
      </c>
      <c r="F7" s="51">
        <v>232.16950085532667</v>
      </c>
      <c r="G7" s="51">
        <v>294.0365415766269</v>
      </c>
      <c r="H7" s="51">
        <v>351.79938383710476</v>
      </c>
      <c r="I7" s="51">
        <v>403.7046695679021</v>
      </c>
      <c r="J7" s="51">
        <v>399.539786118091</v>
      </c>
      <c r="K7" s="51">
        <v>387.7695251556812</v>
      </c>
      <c r="L7" s="51">
        <v>418.3769282360832</v>
      </c>
      <c r="M7" s="51">
        <v>509.80707826880246</v>
      </c>
      <c r="N7" s="51">
        <v>532.869929281679</v>
      </c>
      <c r="O7" s="51">
        <v>398.62727945629496</v>
      </c>
      <c r="P7" s="51">
        <v>586.6203722394929</v>
      </c>
      <c r="Q7" s="51">
        <v>727.832363338217</v>
      </c>
      <c r="R7" s="51">
        <v>927.6953219356396</v>
      </c>
      <c r="S7" s="51">
        <v>1190.6915487914537</v>
      </c>
      <c r="T7" s="51">
        <v>1020.0209121573638</v>
      </c>
      <c r="V7" s="8"/>
    </row>
    <row r="8" spans="1:22" ht="12.75">
      <c r="A8" s="50" t="s">
        <v>4</v>
      </c>
      <c r="B8" s="125" t="s">
        <v>210</v>
      </c>
      <c r="C8" s="125" t="s">
        <v>210</v>
      </c>
      <c r="D8" s="125" t="s">
        <v>212</v>
      </c>
      <c r="E8" s="51">
        <v>1.5499470434760145</v>
      </c>
      <c r="F8" s="51">
        <v>3.874867608690036</v>
      </c>
      <c r="G8" s="51">
        <v>4.092769440654843</v>
      </c>
      <c r="H8" s="51">
        <v>7.541176156536131</v>
      </c>
      <c r="I8" s="51">
        <v>11.981928894126892</v>
      </c>
      <c r="J8" s="51">
        <v>9.991726595812386</v>
      </c>
      <c r="K8" s="51">
        <v>16.95442624824582</v>
      </c>
      <c r="L8" s="51">
        <v>18.406507930209692</v>
      </c>
      <c r="M8" s="51">
        <v>19.109582912581647</v>
      </c>
      <c r="N8" s="51">
        <v>18.59828972428515</v>
      </c>
      <c r="O8" s="51">
        <v>41.67039484616466</v>
      </c>
      <c r="P8" s="51">
        <v>47.67808980864853</v>
      </c>
      <c r="Q8" s="51">
        <v>57.328748737744945</v>
      </c>
      <c r="R8" s="51">
        <v>107.17983459665359</v>
      </c>
      <c r="S8" s="51">
        <v>132.42493576879323</v>
      </c>
      <c r="T8" s="51">
        <v>131.21061444658903</v>
      </c>
      <c r="V8" s="8"/>
    </row>
    <row r="9" spans="1:22" ht="12.75">
      <c r="A9" s="50" t="s">
        <v>5</v>
      </c>
      <c r="B9" s="125" t="s">
        <v>210</v>
      </c>
      <c r="C9" s="125" t="s">
        <v>210</v>
      </c>
      <c r="D9" s="125" t="s">
        <v>210</v>
      </c>
      <c r="E9" s="51">
        <v>339.9</v>
      </c>
      <c r="F9" s="51">
        <v>512.2879207431215</v>
      </c>
      <c r="G9" s="51">
        <v>498.45379339458736</v>
      </c>
      <c r="H9" s="51">
        <v>457.2323080597336</v>
      </c>
      <c r="I9" s="51">
        <v>429.2630053836955</v>
      </c>
      <c r="J9" s="51">
        <v>435.95200606149285</v>
      </c>
      <c r="K9" s="51">
        <v>442.96750104696986</v>
      </c>
      <c r="L9" s="51">
        <v>458.3732116998249</v>
      </c>
      <c r="M9" s="51">
        <v>487.92600000000004</v>
      </c>
      <c r="N9" s="51">
        <v>507.86400000000003</v>
      </c>
      <c r="O9" s="51">
        <v>520.465</v>
      </c>
      <c r="P9" s="51">
        <v>533.123</v>
      </c>
      <c r="Q9" s="51">
        <v>599.44</v>
      </c>
      <c r="R9" s="51">
        <v>594.7570000000001</v>
      </c>
      <c r="S9" s="51">
        <v>650</v>
      </c>
      <c r="T9" s="51">
        <v>803</v>
      </c>
      <c r="V9" s="8"/>
    </row>
    <row r="10" spans="1:22" ht="12.75">
      <c r="A10" s="50" t="s">
        <v>6</v>
      </c>
      <c r="B10" s="125" t="s">
        <v>210</v>
      </c>
      <c r="C10" s="125" t="s">
        <v>210</v>
      </c>
      <c r="D10" s="125" t="s">
        <v>210</v>
      </c>
      <c r="E10" s="51">
        <v>10217.7542183989</v>
      </c>
      <c r="F10" s="51">
        <v>10247.104796294707</v>
      </c>
      <c r="G10" s="51">
        <v>9968.364511147583</v>
      </c>
      <c r="H10" s="51">
        <v>10438.613662315944</v>
      </c>
      <c r="I10" s="51">
        <v>10503.529358051936</v>
      </c>
      <c r="J10" s="51">
        <v>10390.182135385294</v>
      </c>
      <c r="K10" s="51">
        <v>10163.52780121119</v>
      </c>
      <c r="L10" s="51">
        <v>9924.150415592921</v>
      </c>
      <c r="M10" s="51">
        <v>10545.19211392742</v>
      </c>
      <c r="N10" s="51">
        <v>10375.958511364635</v>
      </c>
      <c r="O10" s="51">
        <v>10159.77197151076</v>
      </c>
      <c r="P10" s="51">
        <v>10448.109390000001</v>
      </c>
      <c r="Q10" s="51">
        <v>11271.3</v>
      </c>
      <c r="R10" s="51">
        <v>11354.663297600819</v>
      </c>
      <c r="S10" s="51">
        <v>12099.24206227667</v>
      </c>
      <c r="T10" s="51">
        <v>12489.08844820772</v>
      </c>
      <c r="V10" s="8"/>
    </row>
    <row r="11" spans="1:22" ht="12.75">
      <c r="A11" s="50" t="s">
        <v>7</v>
      </c>
      <c r="B11" s="125" t="s">
        <v>210</v>
      </c>
      <c r="C11" s="125" t="s">
        <v>210</v>
      </c>
      <c r="D11" s="125" t="s">
        <v>210</v>
      </c>
      <c r="E11" s="51">
        <v>12159</v>
      </c>
      <c r="F11" s="51">
        <v>10512</v>
      </c>
      <c r="G11" s="51">
        <v>10420</v>
      </c>
      <c r="H11" s="51">
        <v>10216</v>
      </c>
      <c r="I11" s="51">
        <v>11126</v>
      </c>
      <c r="J11" s="51">
        <v>10916</v>
      </c>
      <c r="K11" s="51">
        <v>10850</v>
      </c>
      <c r="L11" s="51">
        <v>11146</v>
      </c>
      <c r="M11" s="51">
        <v>11967</v>
      </c>
      <c r="N11" s="51">
        <v>11558</v>
      </c>
      <c r="O11" s="51">
        <v>11100</v>
      </c>
      <c r="P11" s="51">
        <v>10790</v>
      </c>
      <c r="Q11" s="51">
        <v>10710</v>
      </c>
      <c r="R11" s="51">
        <v>10200</v>
      </c>
      <c r="S11" s="51">
        <v>10310</v>
      </c>
      <c r="T11" s="51">
        <v>10160</v>
      </c>
      <c r="V11" s="8"/>
    </row>
    <row r="12" spans="1:22" ht="12.75">
      <c r="A12" s="50" t="s">
        <v>30</v>
      </c>
      <c r="B12" s="125" t="s">
        <v>210</v>
      </c>
      <c r="C12" s="125" t="s">
        <v>210</v>
      </c>
      <c r="D12" s="125" t="s">
        <v>212</v>
      </c>
      <c r="E12" s="51">
        <v>167.35131274163047</v>
      </c>
      <c r="F12" s="51">
        <v>228.7900331816294</v>
      </c>
      <c r="G12" s="51">
        <v>265.18814986729546</v>
      </c>
      <c r="H12" s="51">
        <v>131.11307083214442</v>
      </c>
      <c r="I12" s="51">
        <v>122.84441770149036</v>
      </c>
      <c r="J12" s="51">
        <v>299.07300556118804</v>
      </c>
      <c r="K12" s="51">
        <v>281.26370106379557</v>
      </c>
      <c r="L12" s="51">
        <v>208.4664268181971</v>
      </c>
      <c r="M12" s="51">
        <v>176.60493217101586</v>
      </c>
      <c r="N12" s="51">
        <v>236.86905855068085</v>
      </c>
      <c r="O12" s="51">
        <v>283.5741037988229</v>
      </c>
      <c r="P12" s="51">
        <v>242.6965405703917</v>
      </c>
      <c r="Q12" s="51">
        <v>1427.2409408773044</v>
      </c>
      <c r="R12" s="51">
        <v>1703.1122757508565</v>
      </c>
      <c r="S12" s="51">
        <v>583.3882014606274</v>
      </c>
      <c r="T12" s="51">
        <v>645.9512156300983</v>
      </c>
      <c r="V12" s="8"/>
    </row>
    <row r="13" spans="1:22" ht="12.75">
      <c r="A13" s="50" t="s">
        <v>8</v>
      </c>
      <c r="B13" s="125" t="s">
        <v>210</v>
      </c>
      <c r="C13" s="125" t="s">
        <v>212</v>
      </c>
      <c r="D13" s="125" t="s">
        <v>212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62" t="s">
        <v>249</v>
      </c>
      <c r="V13" s="8"/>
    </row>
    <row r="14" spans="1:22" ht="12.75">
      <c r="A14" s="50" t="s">
        <v>9</v>
      </c>
      <c r="B14" s="125" t="s">
        <v>210</v>
      </c>
      <c r="C14" s="125" t="s">
        <v>210</v>
      </c>
      <c r="D14" s="125" t="s">
        <v>210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62" t="s">
        <v>227</v>
      </c>
      <c r="V14" s="8"/>
    </row>
    <row r="15" spans="1:22" ht="12.75">
      <c r="A15" s="50" t="s">
        <v>10</v>
      </c>
      <c r="B15" s="125" t="s">
        <v>210</v>
      </c>
      <c r="C15" s="125" t="s">
        <v>210</v>
      </c>
      <c r="D15" s="125" t="s">
        <v>210</v>
      </c>
      <c r="E15" s="49"/>
      <c r="F15" s="49"/>
      <c r="G15" s="4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9"/>
      <c r="S15" s="49"/>
      <c r="T15" s="49"/>
      <c r="U15" s="62" t="s">
        <v>227</v>
      </c>
      <c r="V15" s="8"/>
    </row>
    <row r="16" spans="1:22" ht="12.75">
      <c r="A16" s="50" t="s">
        <v>11</v>
      </c>
      <c r="B16" s="125" t="s">
        <v>210</v>
      </c>
      <c r="C16" s="125" t="s">
        <v>210</v>
      </c>
      <c r="D16" s="125" t="s">
        <v>212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62" t="s">
        <v>227</v>
      </c>
      <c r="V16" s="8"/>
    </row>
    <row r="17" spans="1:22" ht="12.75">
      <c r="A17" s="50" t="s">
        <v>12</v>
      </c>
      <c r="B17" s="125" t="s">
        <v>210</v>
      </c>
      <c r="C17" s="125" t="s">
        <v>212</v>
      </c>
      <c r="D17" s="125" t="s">
        <v>212</v>
      </c>
      <c r="E17" s="51">
        <v>18.747141869056154</v>
      </c>
      <c r="F17" s="51">
        <v>15.419371597604753</v>
      </c>
      <c r="G17" s="51">
        <v>15.763306906194806</v>
      </c>
      <c r="H17" s="51">
        <v>14.01098560268837</v>
      </c>
      <c r="I17" s="51">
        <v>27.73315157935747</v>
      </c>
      <c r="J17" s="51">
        <v>26.14852488634952</v>
      </c>
      <c r="K17" s="51">
        <v>26.76000019201427</v>
      </c>
      <c r="L17" s="51">
        <v>23.35952754162283</v>
      </c>
      <c r="M17" s="51">
        <v>24.065716653140456</v>
      </c>
      <c r="N17" s="51">
        <v>30.259737371731216</v>
      </c>
      <c r="O17" s="51">
        <v>30.44331601908657</v>
      </c>
      <c r="P17" s="51">
        <v>24.874054036287134</v>
      </c>
      <c r="Q17" s="51">
        <v>26.151936345381525</v>
      </c>
      <c r="R17" s="51">
        <v>27.314989109349156</v>
      </c>
      <c r="S17" s="124">
        <f>R17</f>
        <v>27.314989109349156</v>
      </c>
      <c r="T17" s="124">
        <f>R17</f>
        <v>27.314989109349156</v>
      </c>
      <c r="V17" s="8"/>
    </row>
    <row r="18" spans="1:22" ht="12.75">
      <c r="A18" s="50" t="s">
        <v>13</v>
      </c>
      <c r="B18" s="125" t="s">
        <v>210</v>
      </c>
      <c r="C18" s="125" t="s">
        <v>210</v>
      </c>
      <c r="D18" s="125" t="s">
        <v>212</v>
      </c>
      <c r="E18" s="124">
        <f>F18</f>
        <v>12.384947766974259</v>
      </c>
      <c r="F18" s="51">
        <v>12.384947766974259</v>
      </c>
      <c r="G18" s="51">
        <v>16.272498842961934</v>
      </c>
      <c r="H18" s="51">
        <v>15.099359519572785</v>
      </c>
      <c r="I18" s="51">
        <v>24.41430284367561</v>
      </c>
      <c r="J18" s="51">
        <v>40.342581263847094</v>
      </c>
      <c r="K18" s="51">
        <v>96.33460218492229</v>
      </c>
      <c r="L18" s="51">
        <v>129.92190614666634</v>
      </c>
      <c r="M18" s="51">
        <v>108.51915999134012</v>
      </c>
      <c r="N18" s="51">
        <v>69.50841638053764</v>
      </c>
      <c r="O18" s="51">
        <v>111.58004278198531</v>
      </c>
      <c r="P18" s="51">
        <v>141.91791930952587</v>
      </c>
      <c r="Q18" s="51">
        <v>136.6966897390599</v>
      </c>
      <c r="R18" s="51">
        <v>165.37303058387397</v>
      </c>
      <c r="S18" s="51">
        <v>197.2312326227989</v>
      </c>
      <c r="T18" s="51">
        <v>276.87673772011124</v>
      </c>
      <c r="V18" s="8"/>
    </row>
    <row r="19" spans="1:22" ht="12.75">
      <c r="A19" s="50" t="s">
        <v>121</v>
      </c>
      <c r="B19" s="125" t="s">
        <v>210</v>
      </c>
      <c r="C19" s="125" t="s">
        <v>210</v>
      </c>
      <c r="D19" s="125" t="s">
        <v>210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62" t="s">
        <v>231</v>
      </c>
      <c r="V19" s="8"/>
    </row>
    <row r="20" spans="1:22" ht="12.75">
      <c r="A20" s="50" t="s">
        <v>14</v>
      </c>
      <c r="B20" s="125" t="s">
        <v>210</v>
      </c>
      <c r="C20" s="125" t="s">
        <v>210</v>
      </c>
      <c r="D20" s="125" t="s">
        <v>212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49"/>
      <c r="T20" s="49"/>
      <c r="U20" s="62" t="s">
        <v>260</v>
      </c>
      <c r="V20" s="8"/>
    </row>
    <row r="21" spans="1:22" ht="12.75">
      <c r="A21" s="50" t="s">
        <v>31</v>
      </c>
      <c r="B21" s="125" t="s">
        <v>210</v>
      </c>
      <c r="C21" s="125" t="s">
        <v>212</v>
      </c>
      <c r="D21" s="125" t="s">
        <v>212</v>
      </c>
      <c r="E21" s="51">
        <v>1001.8938616747308</v>
      </c>
      <c r="F21" s="51">
        <v>869.9639209872026</v>
      </c>
      <c r="G21" s="51">
        <v>751.1165364705668</v>
      </c>
      <c r="H21" s="51">
        <v>826.3585070754006</v>
      </c>
      <c r="I21" s="51">
        <v>782.0325281611011</v>
      </c>
      <c r="J21" s="51">
        <v>868.3549892063586</v>
      </c>
      <c r="K21" s="51">
        <v>935.2509607546291</v>
      </c>
      <c r="L21" s="51">
        <v>1001.9974971120524</v>
      </c>
      <c r="M21" s="51">
        <v>908.9799526339214</v>
      </c>
      <c r="N21" s="51">
        <v>1018.9602902440236</v>
      </c>
      <c r="O21" s="51">
        <v>1164.1317955411128</v>
      </c>
      <c r="P21" s="51">
        <v>1073.0573638374171</v>
      </c>
      <c r="Q21" s="51">
        <v>1138.750492849206</v>
      </c>
      <c r="R21" s="51">
        <v>1462.62136498848</v>
      </c>
      <c r="S21" s="51">
        <v>1473.849643137298</v>
      </c>
      <c r="T21" s="61">
        <v>1511.1380391086718</v>
      </c>
      <c r="V21" s="8"/>
    </row>
    <row r="22" spans="1:22" ht="12.75">
      <c r="A22" s="50" t="s">
        <v>15</v>
      </c>
      <c r="B22" s="125" t="s">
        <v>210</v>
      </c>
      <c r="C22" s="125" t="s">
        <v>210</v>
      </c>
      <c r="D22" s="125" t="s">
        <v>212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62" t="s">
        <v>226</v>
      </c>
      <c r="V22" s="8"/>
    </row>
    <row r="23" spans="1:22" ht="12.75">
      <c r="A23" s="50" t="s">
        <v>16</v>
      </c>
      <c r="B23" s="125" t="s">
        <v>210</v>
      </c>
      <c r="C23" s="125" t="s">
        <v>210</v>
      </c>
      <c r="D23" s="125" t="s">
        <v>210</v>
      </c>
      <c r="E23" s="51">
        <v>398.1150969757884</v>
      </c>
      <c r="F23" s="51">
        <v>405.26132054219335</v>
      </c>
      <c r="G23" s="51">
        <v>648.5230942696102</v>
      </c>
      <c r="H23" s="51">
        <v>737.0354472288783</v>
      </c>
      <c r="I23" s="51">
        <v>748.2264926312587</v>
      </c>
      <c r="J23" s="51">
        <v>969.7473045748745</v>
      </c>
      <c r="K23" s="51">
        <v>905.484052212069</v>
      </c>
      <c r="L23" s="51">
        <v>554.0484316105585</v>
      </c>
      <c r="M23" s="51">
        <v>963.7862587998422</v>
      </c>
      <c r="N23" s="51">
        <v>1686.7110160414304</v>
      </c>
      <c r="O23" s="51">
        <v>1623.02121263</v>
      </c>
      <c r="P23" s="51">
        <v>1537.33270345</v>
      </c>
      <c r="Q23" s="51">
        <v>1933.3042615299996</v>
      </c>
      <c r="R23" s="51">
        <v>2112.69200358</v>
      </c>
      <c r="S23" s="51">
        <v>1940.25974941</v>
      </c>
      <c r="T23" s="51">
        <v>1452.66793319</v>
      </c>
      <c r="V23" s="8"/>
    </row>
    <row r="24" spans="1:22" ht="12.75">
      <c r="A24" s="50" t="s">
        <v>17</v>
      </c>
      <c r="B24" s="125" t="s">
        <v>210</v>
      </c>
      <c r="C24" s="125" t="s">
        <v>210</v>
      </c>
      <c r="D24" s="125" t="s">
        <v>212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62" t="s">
        <v>262</v>
      </c>
      <c r="V24" s="8"/>
    </row>
    <row r="25" spans="1:22" ht="12.75">
      <c r="A25" s="50" t="s">
        <v>18</v>
      </c>
      <c r="B25" s="125" t="s">
        <v>210</v>
      </c>
      <c r="C25" s="125" t="s">
        <v>210</v>
      </c>
      <c r="D25" s="125" t="s">
        <v>212</v>
      </c>
      <c r="E25" s="51">
        <v>85.3970253970809</v>
      </c>
      <c r="F25" s="51">
        <v>52.70359155965441</v>
      </c>
      <c r="G25" s="51">
        <v>40.50556657743911</v>
      </c>
      <c r="H25" s="51">
        <v>53.235695962166375</v>
      </c>
      <c r="I25" s="51">
        <v>78.77110903863793</v>
      </c>
      <c r="J25" s="51">
        <v>314.381744763584</v>
      </c>
      <c r="K25" s="51">
        <v>299.2589969904656</v>
      </c>
      <c r="L25" s="51">
        <v>202.89396337327608</v>
      </c>
      <c r="M25" s="51">
        <v>227.2193793718605</v>
      </c>
      <c r="N25" s="51">
        <v>201.33949191685915</v>
      </c>
      <c r="O25" s="51">
        <v>260.458144001499</v>
      </c>
      <c r="P25" s="51">
        <v>210.27260237653354</v>
      </c>
      <c r="Q25" s="51">
        <v>240.14292139323373</v>
      </c>
      <c r="R25" s="51">
        <v>360.1890456472441</v>
      </c>
      <c r="S25" s="51">
        <v>387.94253275922074</v>
      </c>
      <c r="T25" s="51">
        <v>382.3478604786474</v>
      </c>
      <c r="V25" s="8"/>
    </row>
    <row r="26" spans="1:22" ht="12.75">
      <c r="A26" s="50" t="s">
        <v>19</v>
      </c>
      <c r="B26" s="125" t="s">
        <v>210</v>
      </c>
      <c r="C26" s="125" t="s">
        <v>210</v>
      </c>
      <c r="D26" s="125" t="s">
        <v>212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62" t="s">
        <v>225</v>
      </c>
      <c r="V26" s="8"/>
    </row>
    <row r="27" spans="1:22" ht="12.75">
      <c r="A27" s="50" t="s">
        <v>20</v>
      </c>
      <c r="B27" s="125" t="s">
        <v>210</v>
      </c>
      <c r="C27" s="125" t="s">
        <v>210</v>
      </c>
      <c r="D27" s="125" t="s">
        <v>210</v>
      </c>
      <c r="E27" s="51">
        <v>4212.902527856912</v>
      </c>
      <c r="F27" s="51">
        <v>4616.097508203816</v>
      </c>
      <c r="G27" s="51">
        <v>4637.307225367519</v>
      </c>
      <c r="H27" s="51">
        <v>4166.612575577272</v>
      </c>
      <c r="I27" s="51">
        <v>3945.271837774813</v>
      </c>
      <c r="J27" s="51">
        <v>3900.5565372086594</v>
      </c>
      <c r="K27" s="51">
        <v>4730.806678446504</v>
      </c>
      <c r="L27" s="51">
        <v>4246.685418244324</v>
      </c>
      <c r="M27" s="51">
        <v>4738</v>
      </c>
      <c r="N27" s="51">
        <v>5417</v>
      </c>
      <c r="O27" s="51">
        <v>6755</v>
      </c>
      <c r="P27" s="51">
        <v>7284</v>
      </c>
      <c r="Q27" s="51">
        <v>7169</v>
      </c>
      <c r="R27" s="51">
        <v>8245</v>
      </c>
      <c r="S27" s="51">
        <v>8337</v>
      </c>
      <c r="T27" s="51">
        <v>7780</v>
      </c>
      <c r="V27" s="8"/>
    </row>
    <row r="28" spans="1:22" ht="12.75">
      <c r="A28" s="50" t="s">
        <v>21</v>
      </c>
      <c r="B28" s="125" t="s">
        <v>210</v>
      </c>
      <c r="C28" s="125" t="s">
        <v>210</v>
      </c>
      <c r="D28" s="125" t="s">
        <v>210</v>
      </c>
      <c r="E28" s="49"/>
      <c r="F28" s="49"/>
      <c r="G28" s="49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62" t="s">
        <v>228</v>
      </c>
      <c r="V28" s="8"/>
    </row>
    <row r="29" spans="1:22" ht="12.75">
      <c r="A29" s="50" t="s">
        <v>22</v>
      </c>
      <c r="B29" s="125" t="s">
        <v>210</v>
      </c>
      <c r="C29" s="125" t="s">
        <v>212</v>
      </c>
      <c r="D29" s="125" t="s">
        <v>212</v>
      </c>
      <c r="E29" s="51">
        <v>2197.7598802922275</v>
      </c>
      <c r="F29" s="51">
        <v>2365.058172801831</v>
      </c>
      <c r="G29" s="51">
        <v>2463.4857094874947</v>
      </c>
      <c r="H29" s="51">
        <v>2519.8286904654083</v>
      </c>
      <c r="I29" s="51">
        <v>2419.3136185089943</v>
      </c>
      <c r="J29" s="51">
        <v>2336.374619966018</v>
      </c>
      <c r="K29" s="51">
        <v>2297.780547601328</v>
      </c>
      <c r="L29" s="51">
        <v>2603.2619625516236</v>
      </c>
      <c r="M29" s="51">
        <v>2716.881832153357</v>
      </c>
      <c r="N29" s="51">
        <v>2765.3095001655083</v>
      </c>
      <c r="O29" s="51">
        <v>2847.307430129516</v>
      </c>
      <c r="P29" s="51">
        <v>2734.025769129634</v>
      </c>
      <c r="Q29" s="51">
        <v>2729.628190180075</v>
      </c>
      <c r="R29" s="124">
        <f>Q29</f>
        <v>2729.628190180075</v>
      </c>
      <c r="S29" s="124">
        <f>Q29</f>
        <v>2729.628190180075</v>
      </c>
      <c r="T29" s="124">
        <f>Q29</f>
        <v>2729.628190180075</v>
      </c>
      <c r="V29" s="8"/>
    </row>
    <row r="30" spans="1:22" ht="12.75">
      <c r="A30" s="50" t="s">
        <v>32</v>
      </c>
      <c r="B30" s="125" t="s">
        <v>210</v>
      </c>
      <c r="C30" s="125" t="s">
        <v>212</v>
      </c>
      <c r="D30" s="125" t="s">
        <v>212</v>
      </c>
      <c r="E30" s="49"/>
      <c r="F30" s="49"/>
      <c r="G30" s="4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62" t="s">
        <v>250</v>
      </c>
      <c r="V30" s="8"/>
    </row>
    <row r="31" spans="1:22" ht="12.75">
      <c r="A31" s="50" t="s">
        <v>100</v>
      </c>
      <c r="B31" s="125" t="s">
        <v>210</v>
      </c>
      <c r="C31" s="125" t="s">
        <v>210</v>
      </c>
      <c r="D31" s="125" t="s">
        <v>210</v>
      </c>
      <c r="E31" s="51">
        <v>6444.790889988477</v>
      </c>
      <c r="F31" s="51">
        <v>6169.325681933568</v>
      </c>
      <c r="G31" s="51">
        <v>6136.084407767251</v>
      </c>
      <c r="H31" s="51">
        <v>5224.49021673998</v>
      </c>
      <c r="I31" s="51">
        <v>4863.614741821828</v>
      </c>
      <c r="J31" s="51">
        <v>5081.582546056654</v>
      </c>
      <c r="K31" s="51">
        <v>4232.631165772603</v>
      </c>
      <c r="L31" s="51">
        <v>4757.567477305159</v>
      </c>
      <c r="M31" s="51">
        <v>5563.759270197545</v>
      </c>
      <c r="N31" s="51">
        <v>5930.4999437181405</v>
      </c>
      <c r="O31" s="51">
        <v>6289.458200149484</v>
      </c>
      <c r="P31" s="51">
        <v>5232.734577089264</v>
      </c>
      <c r="Q31" s="51">
        <v>6010.37338284266</v>
      </c>
      <c r="R31" s="51">
        <v>6308.384430067291</v>
      </c>
      <c r="S31" s="51">
        <v>6973.065465126807</v>
      </c>
      <c r="T31" s="61">
        <v>7149.484021394515</v>
      </c>
      <c r="V31" s="8"/>
    </row>
    <row r="32" spans="1:22" ht="12.75">
      <c r="A32" s="50" t="s">
        <v>223</v>
      </c>
      <c r="B32" s="50">
        <f>COUNTIF(B4:B31,"Y")</f>
        <v>28</v>
      </c>
      <c r="C32" s="50">
        <f>COUNTIF(C4:C31,"Y")</f>
        <v>23</v>
      </c>
      <c r="D32" s="50">
        <f>COUNTIF(D4:D31,"Y")</f>
        <v>12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V32" s="8"/>
    </row>
    <row r="33" spans="1:22" ht="12.75">
      <c r="A33" s="57" t="s">
        <v>134</v>
      </c>
      <c r="B33" s="57"/>
      <c r="C33" s="57"/>
      <c r="D33" s="57"/>
      <c r="E33" s="59">
        <f>E34+E35</f>
        <v>34927.28094212491</v>
      </c>
      <c r="F33" s="59">
        <f aca="true" t="shared" si="0" ref="F33:T33">F34+F35</f>
        <v>33599.47756427855</v>
      </c>
      <c r="G33" s="59">
        <f t="shared" si="0"/>
        <v>33636.8614156243</v>
      </c>
      <c r="H33" s="59">
        <f t="shared" si="0"/>
        <v>32541.24427512767</v>
      </c>
      <c r="I33" s="59">
        <f t="shared" si="0"/>
        <v>32993.13283984508</v>
      </c>
      <c r="J33" s="59">
        <f t="shared" si="0"/>
        <v>33506.849990571</v>
      </c>
      <c r="K33" s="59">
        <f t="shared" si="0"/>
        <v>33212.31658822594</v>
      </c>
      <c r="L33" s="59">
        <f t="shared" si="0"/>
        <v>32778.72294423731</v>
      </c>
      <c r="M33" s="59">
        <f t="shared" si="0"/>
        <v>36092.38878546911</v>
      </c>
      <c r="N33" s="59">
        <f t="shared" si="0"/>
        <v>37478.7864886238</v>
      </c>
      <c r="O33" s="59">
        <f t="shared" si="0"/>
        <v>38594.05362426264</v>
      </c>
      <c r="P33" s="59">
        <f t="shared" si="0"/>
        <v>38329.99127448209</v>
      </c>
      <c r="Q33" s="59">
        <f t="shared" si="0"/>
        <v>42033.6343836839</v>
      </c>
      <c r="R33" s="59">
        <f t="shared" si="0"/>
        <v>44180.99807447024</v>
      </c>
      <c r="S33" s="59">
        <f t="shared" si="0"/>
        <v>45094.499124399204</v>
      </c>
      <c r="T33" s="59">
        <f t="shared" si="0"/>
        <v>44653.96368139016</v>
      </c>
      <c r="V33" s="8"/>
    </row>
    <row r="34" spans="1:22" ht="12.75">
      <c r="A34" s="57" t="s">
        <v>132</v>
      </c>
      <c r="B34" s="57"/>
      <c r="C34" s="57"/>
      <c r="D34" s="57"/>
      <c r="E34" s="59">
        <f>E5+E6+E8+E12+E16+E18+E20+E22+E24+E25+E26</f>
        <v>407.5283603462062</v>
      </c>
      <c r="F34" s="59">
        <f aca="true" t="shared" si="1" ref="F34:T34">F5+F6+F8+F12+F16+F18+F20+F22+F24+F25+F26</f>
        <v>438.5985675139927</v>
      </c>
      <c r="G34" s="59">
        <f t="shared" si="1"/>
        <v>550.9628405531936</v>
      </c>
      <c r="H34" s="59">
        <f t="shared" si="1"/>
        <v>492.7119186237602</v>
      </c>
      <c r="I34" s="59">
        <f t="shared" si="1"/>
        <v>547.8779448924936</v>
      </c>
      <c r="J34" s="59">
        <f t="shared" si="1"/>
        <v>1047.0185909599181</v>
      </c>
      <c r="K34" s="59">
        <f t="shared" si="1"/>
        <v>1067.5259022580058</v>
      </c>
      <c r="L34" s="59">
        <f t="shared" si="1"/>
        <v>881.9598310520088</v>
      </c>
      <c r="M34" s="59">
        <f t="shared" si="1"/>
        <v>840.0180642754979</v>
      </c>
      <c r="N34" s="59">
        <f t="shared" si="1"/>
        <v>828.5451072310489</v>
      </c>
      <c r="O34" s="59">
        <f t="shared" si="1"/>
        <v>1215.6099605161</v>
      </c>
      <c r="P34" s="59">
        <f t="shared" si="1"/>
        <v>1268.171231703336</v>
      </c>
      <c r="Q34" s="59">
        <f>Q5+Q6+Q8+Q12+Q16+Q18+Q20+Q22+Q24+Q25+Q26</f>
        <v>2892.68437597302</v>
      </c>
      <c r="R34" s="59">
        <f t="shared" si="1"/>
        <v>3750.797101286486</v>
      </c>
      <c r="S34" s="59">
        <f t="shared" si="1"/>
        <v>2792.272228794272</v>
      </c>
      <c r="T34" s="59">
        <f t="shared" si="1"/>
        <v>2929.8162964405637</v>
      </c>
      <c r="V34" s="8"/>
    </row>
    <row r="35" spans="1:22" ht="12.75">
      <c r="A35" s="57" t="s">
        <v>28</v>
      </c>
      <c r="B35" s="57"/>
      <c r="C35" s="57"/>
      <c r="D35" s="57"/>
      <c r="E35" s="59">
        <f>E4+E7+E9+E10+E11+E14+E15+E19+E23+E27+E28+E31</f>
        <v>34519.7525817787</v>
      </c>
      <c r="F35" s="59">
        <f aca="true" t="shared" si="2" ref="F35:T35">F4+F7+F9+F10+F11+F14+F15+F19+F23+F27+F28+F31</f>
        <v>33160.878996764564</v>
      </c>
      <c r="G35" s="59">
        <f t="shared" si="2"/>
        <v>33085.89857507111</v>
      </c>
      <c r="H35" s="59">
        <f t="shared" si="2"/>
        <v>32048.532356503907</v>
      </c>
      <c r="I35" s="59">
        <f t="shared" si="2"/>
        <v>32445.254894952588</v>
      </c>
      <c r="J35" s="59">
        <f t="shared" si="2"/>
        <v>32459.83139961108</v>
      </c>
      <c r="K35" s="59">
        <f t="shared" si="2"/>
        <v>32144.79068596794</v>
      </c>
      <c r="L35" s="59">
        <f t="shared" si="2"/>
        <v>31896.763113185298</v>
      </c>
      <c r="M35" s="59">
        <f t="shared" si="2"/>
        <v>35252.37072119361</v>
      </c>
      <c r="N35" s="59">
        <f t="shared" si="2"/>
        <v>36650.241381392756</v>
      </c>
      <c r="O35" s="59">
        <f t="shared" si="2"/>
        <v>37378.44366374654</v>
      </c>
      <c r="P35" s="59">
        <f t="shared" si="2"/>
        <v>37061.82004277875</v>
      </c>
      <c r="Q35" s="59">
        <f t="shared" si="2"/>
        <v>39140.95000771088</v>
      </c>
      <c r="R35" s="59">
        <f t="shared" si="2"/>
        <v>40430.20097318375</v>
      </c>
      <c r="S35" s="59">
        <f t="shared" si="2"/>
        <v>42302.22689560493</v>
      </c>
      <c r="T35" s="59">
        <f t="shared" si="2"/>
        <v>41724.147384949596</v>
      </c>
      <c r="V35" s="5"/>
    </row>
    <row r="36" spans="1:20" ht="12.75">
      <c r="A36" s="57" t="s">
        <v>34</v>
      </c>
      <c r="B36" s="57"/>
      <c r="C36" s="57"/>
      <c r="D36" s="57"/>
      <c r="E36" s="59">
        <f>E33+E13+E17+E21+E29+E30</f>
        <v>38145.68182596093</v>
      </c>
      <c r="F36" s="59">
        <f aca="true" t="shared" si="3" ref="F36:T36">F33+F5+F24+F13+F17+F21+F29+F30</f>
        <v>36849.919029665194</v>
      </c>
      <c r="G36" s="59">
        <f t="shared" si="3"/>
        <v>36867.226968488554</v>
      </c>
      <c r="H36" s="59">
        <f t="shared" si="3"/>
        <v>35901.442458271165</v>
      </c>
      <c r="I36" s="59">
        <f t="shared" si="3"/>
        <v>36222.21213809453</v>
      </c>
      <c r="J36" s="59">
        <f t="shared" si="3"/>
        <v>36737.72812462972</v>
      </c>
      <c r="K36" s="59">
        <f t="shared" si="3"/>
        <v>36472.10809677392</v>
      </c>
      <c r="L36" s="59">
        <f t="shared" si="3"/>
        <v>36407.34193144261</v>
      </c>
      <c r="M36" s="59">
        <f t="shared" si="3"/>
        <v>39742.316286909525</v>
      </c>
      <c r="N36" s="59">
        <f t="shared" si="3"/>
        <v>41293.316016405064</v>
      </c>
      <c r="O36" s="59">
        <f t="shared" si="3"/>
        <v>42635.93616595236</v>
      </c>
      <c r="P36" s="59">
        <f t="shared" si="3"/>
        <v>42161.94846148543</v>
      </c>
      <c r="Q36" s="59">
        <f t="shared" si="3"/>
        <v>45928.165003058566</v>
      </c>
      <c r="R36" s="59">
        <f t="shared" si="3"/>
        <v>48400.56261874815</v>
      </c>
      <c r="S36" s="59">
        <f t="shared" si="3"/>
        <v>49325.29194682593</v>
      </c>
      <c r="T36" s="59">
        <f t="shared" si="3"/>
        <v>48922.044899788256</v>
      </c>
    </row>
    <row r="37" spans="1:20" ht="12.75">
      <c r="A37" s="75" t="s">
        <v>246</v>
      </c>
      <c r="B37" s="57"/>
      <c r="C37" s="57"/>
      <c r="D37" s="57"/>
      <c r="E37" s="62">
        <f aca="true" t="shared" si="4" ref="E37:T37">COUNT(E4:E31)</f>
        <v>16</v>
      </c>
      <c r="F37" s="62">
        <f t="shared" si="4"/>
        <v>16</v>
      </c>
      <c r="G37" s="62">
        <f t="shared" si="4"/>
        <v>16</v>
      </c>
      <c r="H37" s="62">
        <f t="shared" si="4"/>
        <v>16</v>
      </c>
      <c r="I37" s="62">
        <f t="shared" si="4"/>
        <v>16</v>
      </c>
      <c r="J37" s="62">
        <f t="shared" si="4"/>
        <v>16</v>
      </c>
      <c r="K37" s="62">
        <f t="shared" si="4"/>
        <v>16</v>
      </c>
      <c r="L37" s="62">
        <f t="shared" si="4"/>
        <v>16</v>
      </c>
      <c r="M37" s="62">
        <f t="shared" si="4"/>
        <v>16</v>
      </c>
      <c r="N37" s="62">
        <f t="shared" si="4"/>
        <v>16</v>
      </c>
      <c r="O37" s="62">
        <f t="shared" si="4"/>
        <v>16</v>
      </c>
      <c r="P37" s="62">
        <f t="shared" si="4"/>
        <v>16</v>
      </c>
      <c r="Q37" s="62">
        <f t="shared" si="4"/>
        <v>16</v>
      </c>
      <c r="R37" s="62">
        <f t="shared" si="4"/>
        <v>16</v>
      </c>
      <c r="S37" s="62">
        <f t="shared" si="4"/>
        <v>16</v>
      </c>
      <c r="T37" s="62">
        <f t="shared" si="4"/>
        <v>16</v>
      </c>
    </row>
    <row r="38" spans="19:20" ht="12.75">
      <c r="S38" s="9"/>
      <c r="T38" s="9"/>
    </row>
    <row r="39" spans="1:18" s="62" customFormat="1" ht="12">
      <c r="A39" s="136" t="s">
        <v>184</v>
      </c>
      <c r="B39" s="136"/>
      <c r="C39" s="64"/>
      <c r="D39" s="64"/>
      <c r="E39" s="64"/>
      <c r="R39" s="137" t="s">
        <v>25</v>
      </c>
    </row>
    <row r="40" spans="1:18" s="62" customFormat="1" ht="12">
      <c r="A40" s="138" t="s">
        <v>222</v>
      </c>
      <c r="B40" s="138"/>
      <c r="C40" s="138"/>
      <c r="D40" s="64"/>
      <c r="E40" s="64"/>
      <c r="R40" s="137"/>
    </row>
    <row r="41" spans="1:24" s="139" customFormat="1" ht="12">
      <c r="A41" s="62" t="s">
        <v>217</v>
      </c>
      <c r="B41" s="62"/>
      <c r="C41" s="62"/>
      <c r="D41" s="62"/>
      <c r="U41" s="62"/>
      <c r="V41" s="62"/>
      <c r="W41" s="62"/>
      <c r="X41" s="62"/>
    </row>
    <row r="42" spans="1:24" s="139" customFormat="1" ht="1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s="50" customFormat="1" ht="12">
      <c r="A43" s="62" t="s">
        <v>219</v>
      </c>
      <c r="B43" s="62"/>
      <c r="C43" s="62" t="s">
        <v>34</v>
      </c>
      <c r="D43" s="62"/>
      <c r="E43" s="140">
        <f>SUMIF($B$4:$B$31,"Y",E4:E31)/E36</f>
        <v>1</v>
      </c>
      <c r="F43" s="140">
        <f aca="true" t="shared" si="5" ref="F43:T43">SUMIF($B$4:$B$31,"Y",F4:F31)/F36</f>
        <v>1</v>
      </c>
      <c r="G43" s="140">
        <f t="shared" si="5"/>
        <v>1.0000000000000002</v>
      </c>
      <c r="H43" s="140">
        <f t="shared" si="5"/>
        <v>0.9999999999999998</v>
      </c>
      <c r="I43" s="140">
        <f t="shared" si="5"/>
        <v>1</v>
      </c>
      <c r="J43" s="140">
        <f t="shared" si="5"/>
        <v>1.0000000000000002</v>
      </c>
      <c r="K43" s="140">
        <f t="shared" si="5"/>
        <v>0.9999999999999998</v>
      </c>
      <c r="L43" s="140">
        <f t="shared" si="5"/>
        <v>1</v>
      </c>
      <c r="M43" s="140">
        <f t="shared" si="5"/>
        <v>1.0000000000000002</v>
      </c>
      <c r="N43" s="140">
        <f t="shared" si="5"/>
        <v>1.0000000000000002</v>
      </c>
      <c r="O43" s="140">
        <f t="shared" si="5"/>
        <v>0.9999999999999998</v>
      </c>
      <c r="P43" s="140">
        <f t="shared" si="5"/>
        <v>1.0000000000000002</v>
      </c>
      <c r="Q43" s="140">
        <f t="shared" si="5"/>
        <v>1</v>
      </c>
      <c r="R43" s="140">
        <f t="shared" si="5"/>
        <v>0.9999999999999999</v>
      </c>
      <c r="S43" s="140">
        <f t="shared" si="5"/>
        <v>0.9999999999999999</v>
      </c>
      <c r="T43" s="140">
        <f t="shared" si="5"/>
        <v>1</v>
      </c>
      <c r="U43" s="62"/>
      <c r="V43" s="62"/>
      <c r="W43" s="62"/>
      <c r="X43" s="62"/>
    </row>
    <row r="44" spans="3:20" s="62" customFormat="1" ht="12">
      <c r="C44" s="62" t="s">
        <v>134</v>
      </c>
      <c r="E44" s="135">
        <f>SUMIF($C$4:$C$31,"Y",E4:E31)/E33</f>
        <v>1</v>
      </c>
      <c r="F44" s="135">
        <f aca="true" t="shared" si="6" ref="F44:T44">SUMIF($C$4:$C$31,"Y",F4:F31)/F33</f>
        <v>1</v>
      </c>
      <c r="G44" s="135">
        <f t="shared" si="6"/>
        <v>1.0000000000000002</v>
      </c>
      <c r="H44" s="135">
        <f t="shared" si="6"/>
        <v>0.9999999999999998</v>
      </c>
      <c r="I44" s="135">
        <f t="shared" si="6"/>
        <v>1</v>
      </c>
      <c r="J44" s="135">
        <f t="shared" si="6"/>
        <v>1</v>
      </c>
      <c r="K44" s="135">
        <f t="shared" si="6"/>
        <v>1</v>
      </c>
      <c r="L44" s="135">
        <f t="shared" si="6"/>
        <v>1</v>
      </c>
      <c r="M44" s="135">
        <f t="shared" si="6"/>
        <v>1</v>
      </c>
      <c r="N44" s="135">
        <f t="shared" si="6"/>
        <v>1.0000000000000002</v>
      </c>
      <c r="O44" s="135">
        <f t="shared" si="6"/>
        <v>0.9999999999999998</v>
      </c>
      <c r="P44" s="135">
        <f t="shared" si="6"/>
        <v>1.0000000000000002</v>
      </c>
      <c r="Q44" s="135">
        <f t="shared" si="6"/>
        <v>1</v>
      </c>
      <c r="R44" s="135">
        <f t="shared" si="6"/>
        <v>0.9999999999999999</v>
      </c>
      <c r="S44" s="135">
        <f t="shared" si="6"/>
        <v>1</v>
      </c>
      <c r="T44" s="135">
        <f t="shared" si="6"/>
        <v>1</v>
      </c>
    </row>
    <row r="45" spans="3:20" s="62" customFormat="1" ht="12">
      <c r="C45" s="62" t="s">
        <v>28</v>
      </c>
      <c r="E45" s="135">
        <f>SUMIF($D$4:$D$31,"Y",E4:E31)/E35</f>
        <v>1</v>
      </c>
      <c r="F45" s="135">
        <f aca="true" t="shared" si="7" ref="F45:T45">SUMIF($D$4:$D$31,"Y",F4:F31)/F35</f>
        <v>1</v>
      </c>
      <c r="G45" s="135">
        <f t="shared" si="7"/>
        <v>1</v>
      </c>
      <c r="H45" s="135">
        <f t="shared" si="7"/>
        <v>1</v>
      </c>
      <c r="I45" s="135">
        <f t="shared" si="7"/>
        <v>1</v>
      </c>
      <c r="J45" s="135">
        <f t="shared" si="7"/>
        <v>1</v>
      </c>
      <c r="K45" s="135">
        <f t="shared" si="7"/>
        <v>1</v>
      </c>
      <c r="L45" s="135">
        <f t="shared" si="7"/>
        <v>1</v>
      </c>
      <c r="M45" s="135">
        <f t="shared" si="7"/>
        <v>1</v>
      </c>
      <c r="N45" s="135">
        <f t="shared" si="7"/>
        <v>1</v>
      </c>
      <c r="O45" s="135">
        <f t="shared" si="7"/>
        <v>1</v>
      </c>
      <c r="P45" s="135">
        <f t="shared" si="7"/>
        <v>1</v>
      </c>
      <c r="Q45" s="135">
        <f t="shared" si="7"/>
        <v>1</v>
      </c>
      <c r="R45" s="135">
        <f t="shared" si="7"/>
        <v>1</v>
      </c>
      <c r="S45" s="135">
        <f t="shared" si="7"/>
        <v>1</v>
      </c>
      <c r="T45" s="135">
        <f t="shared" si="7"/>
        <v>1</v>
      </c>
    </row>
    <row r="46" s="62" customFormat="1" ht="12"/>
    <row r="47" spans="1:24" s="1" customFormat="1" ht="12.75">
      <c r="A47" s="127" t="s">
        <v>220</v>
      </c>
      <c r="B47" s="127"/>
      <c r="C47" s="127"/>
      <c r="D47" s="127"/>
      <c r="E47" s="128"/>
      <c r="F47" s="127"/>
      <c r="G47" s="127"/>
      <c r="H47" s="127"/>
      <c r="I47" s="127"/>
      <c r="J47" s="127"/>
      <c r="K47" s="127"/>
      <c r="L47" s="127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s="1" customFormat="1" ht="12.75">
      <c r="A48" s="127" t="s">
        <v>265</v>
      </c>
      <c r="B48" s="127"/>
      <c r="C48" s="127"/>
      <c r="D48" s="127"/>
      <c r="E48" s="127"/>
      <c r="F48" s="127"/>
      <c r="G48" s="127" t="s">
        <v>221</v>
      </c>
      <c r="H48" s="134"/>
      <c r="I48" s="134"/>
      <c r="J48" s="127"/>
      <c r="K48" s="127"/>
      <c r="L48" s="127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1" customFormat="1" ht="12.75">
      <c r="A49" s="127" t="s">
        <v>266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1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>
      <c r="A51" s="64" t="s">
        <v>229</v>
      </c>
      <c r="B51" s="64"/>
      <c r="C51" s="64"/>
      <c r="S51" s="9"/>
      <c r="T51" s="9"/>
      <c r="U51" s="9"/>
      <c r="V51" s="9"/>
      <c r="W51" s="9"/>
      <c r="X51" s="9"/>
    </row>
    <row r="52" spans="1:24" ht="12.75">
      <c r="A52" s="141"/>
      <c r="B52" s="142"/>
      <c r="C52" s="143"/>
      <c r="D52" s="143"/>
      <c r="E52" s="143">
        <f aca="true" t="shared" si="8" ref="E52:Q52">F52-1</f>
        <v>1992</v>
      </c>
      <c r="F52" s="143">
        <f t="shared" si="8"/>
        <v>1993</v>
      </c>
      <c r="G52" s="143">
        <f t="shared" si="8"/>
        <v>1994</v>
      </c>
      <c r="H52" s="143">
        <f t="shared" si="8"/>
        <v>1995</v>
      </c>
      <c r="I52" s="143">
        <f t="shared" si="8"/>
        <v>1996</v>
      </c>
      <c r="J52" s="143">
        <f t="shared" si="8"/>
        <v>1997</v>
      </c>
      <c r="K52" s="143">
        <f t="shared" si="8"/>
        <v>1998</v>
      </c>
      <c r="L52" s="143">
        <f t="shared" si="8"/>
        <v>1999</v>
      </c>
      <c r="M52" s="143">
        <f t="shared" si="8"/>
        <v>2000</v>
      </c>
      <c r="N52" s="143">
        <f t="shared" si="8"/>
        <v>2001</v>
      </c>
      <c r="O52" s="143">
        <f t="shared" si="8"/>
        <v>2002</v>
      </c>
      <c r="P52" s="143">
        <f t="shared" si="8"/>
        <v>2003</v>
      </c>
      <c r="Q52" s="143">
        <f t="shared" si="8"/>
        <v>2004</v>
      </c>
      <c r="R52" s="143">
        <f>S52-1</f>
        <v>2005</v>
      </c>
      <c r="S52" s="143">
        <v>2006</v>
      </c>
      <c r="T52" s="143">
        <v>2007</v>
      </c>
      <c r="U52" s="9"/>
      <c r="V52" s="9"/>
      <c r="W52" s="9"/>
      <c r="X52" s="9"/>
    </row>
    <row r="53" spans="1:24" ht="12.75">
      <c r="A53" s="141" t="s">
        <v>1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4">
        <v>166.169861388771</v>
      </c>
      <c r="T53" s="144">
        <v>133.96052766131507</v>
      </c>
      <c r="U53" s="9"/>
      <c r="V53" s="9"/>
      <c r="W53" s="9"/>
      <c r="X53" s="9"/>
    </row>
    <row r="54" spans="1:24" ht="12.75">
      <c r="A54" s="141" t="s">
        <v>19</v>
      </c>
      <c r="B54" s="142"/>
      <c r="C54" s="142"/>
      <c r="D54" s="142"/>
      <c r="E54" s="144">
        <v>66.53588586184844</v>
      </c>
      <c r="F54" s="144">
        <v>55.790939366587</v>
      </c>
      <c r="G54" s="144">
        <v>113.51555914262197</v>
      </c>
      <c r="H54" s="144">
        <v>186.05715590751427</v>
      </c>
      <c r="I54" s="144">
        <v>283.83139621260835</v>
      </c>
      <c r="J54" s="144">
        <v>293.4491121450012</v>
      </c>
      <c r="K54" s="144">
        <v>262.8654955851286</v>
      </c>
      <c r="L54" s="144">
        <v>352.2510283175288</v>
      </c>
      <c r="M54" s="144">
        <v>372.4739308387098</v>
      </c>
      <c r="N54" s="144">
        <v>284.44935421785385</v>
      </c>
      <c r="O54" s="144">
        <v>336.86083052275245</v>
      </c>
      <c r="P54" s="144">
        <v>470.45602245793293</v>
      </c>
      <c r="Q54" s="144">
        <v>496.34097148741</v>
      </c>
      <c r="R54" s="144">
        <v>450.0866487931126</v>
      </c>
      <c r="S54" s="144">
        <v>573.2319808657987</v>
      </c>
      <c r="T54" s="144">
        <v>638.73390521</v>
      </c>
      <c r="U54" s="9"/>
      <c r="V54" s="9"/>
      <c r="W54" s="9"/>
      <c r="X54" s="9"/>
    </row>
    <row r="55" spans="1:24" ht="12.75">
      <c r="A55" s="145" t="s">
        <v>15</v>
      </c>
      <c r="B55" s="146"/>
      <c r="C55" s="146"/>
      <c r="D55" s="146"/>
      <c r="E55" s="144">
        <v>298.4309171445535</v>
      </c>
      <c r="F55" s="144">
        <v>338.0030759990805</v>
      </c>
      <c r="G55" s="144">
        <v>405.03331769580404</v>
      </c>
      <c r="H55" s="144">
        <v>638.3535796921818</v>
      </c>
      <c r="I55" s="144">
        <v>180.28811033515473</v>
      </c>
      <c r="J55" s="144">
        <v>227.15956344453565</v>
      </c>
      <c r="K55" s="144">
        <v>298.9914464445296</v>
      </c>
      <c r="L55" s="144">
        <v>296.66428432353086</v>
      </c>
      <c r="M55" s="144">
        <v>1000.9799118079374</v>
      </c>
      <c r="N55" s="144">
        <v>1093.924457394951</v>
      </c>
      <c r="O55" s="144">
        <v>1034.8939700316275</v>
      </c>
      <c r="P55" s="144">
        <v>1010.3191199199927</v>
      </c>
      <c r="Q55" s="144">
        <v>1236.856057258991</v>
      </c>
      <c r="R55" s="144">
        <v>1876.44862052705</v>
      </c>
      <c r="S55" s="144">
        <v>2605.109033946697</v>
      </c>
      <c r="T55" s="144">
        <v>3441.818646029778</v>
      </c>
      <c r="U55" s="9"/>
      <c r="V55" s="9"/>
      <c r="W55" s="9"/>
      <c r="X55" s="9"/>
    </row>
    <row r="56" spans="1:24" ht="12.75">
      <c r="A56" s="145" t="s">
        <v>9</v>
      </c>
      <c r="B56" s="142"/>
      <c r="C56" s="142"/>
      <c r="D56" s="142"/>
      <c r="E56" s="144">
        <v>219</v>
      </c>
      <c r="F56" s="144">
        <v>296</v>
      </c>
      <c r="G56" s="144">
        <v>243</v>
      </c>
      <c r="H56" s="144">
        <v>283</v>
      </c>
      <c r="I56" s="144">
        <v>281</v>
      </c>
      <c r="J56" s="144">
        <v>375</v>
      </c>
      <c r="K56" s="144">
        <v>446</v>
      </c>
      <c r="L56" s="144">
        <v>606</v>
      </c>
      <c r="M56" s="144">
        <v>780</v>
      </c>
      <c r="N56" s="144">
        <v>908</v>
      </c>
      <c r="O56" s="144">
        <v>1084</v>
      </c>
      <c r="P56" s="144">
        <v>1169</v>
      </c>
      <c r="Q56" s="144">
        <v>1190</v>
      </c>
      <c r="R56" s="144">
        <v>1153</v>
      </c>
      <c r="S56" s="144">
        <v>1495</v>
      </c>
      <c r="T56" s="144">
        <v>1425</v>
      </c>
      <c r="U56" s="9"/>
      <c r="V56" s="9"/>
      <c r="W56" s="9"/>
      <c r="X56" s="9"/>
    </row>
    <row r="57" spans="1:24" s="1" customFormat="1" ht="12.75">
      <c r="A57" s="145" t="s">
        <v>10</v>
      </c>
      <c r="B57" s="142"/>
      <c r="C57" s="142"/>
      <c r="D57" s="142"/>
      <c r="E57" s="142"/>
      <c r="F57" s="142"/>
      <c r="G57" s="142"/>
      <c r="H57" s="144">
        <v>5143.745448723577</v>
      </c>
      <c r="I57" s="144">
        <v>5143.745448723577</v>
      </c>
      <c r="J57" s="144">
        <v>5143.745448723577</v>
      </c>
      <c r="K57" s="144">
        <v>6257.748144628589</v>
      </c>
      <c r="L57" s="144">
        <v>6364.585199274894</v>
      </c>
      <c r="M57" s="144">
        <v>6930.041061887031</v>
      </c>
      <c r="N57" s="144">
        <v>4582.469999999999</v>
      </c>
      <c r="O57" s="144">
        <v>5070.6</v>
      </c>
      <c r="P57" s="144">
        <v>6127.28</v>
      </c>
      <c r="Q57" s="144">
        <v>7268.339999999999</v>
      </c>
      <c r="R57" s="142"/>
      <c r="S57" s="142"/>
      <c r="T57" s="142"/>
      <c r="U57" s="9"/>
      <c r="V57" s="9"/>
      <c r="W57" s="9"/>
      <c r="X57" s="9"/>
    </row>
    <row r="58" spans="1:24" ht="12.75">
      <c r="A58" s="145" t="s">
        <v>11</v>
      </c>
      <c r="B58" s="142"/>
      <c r="C58" s="142"/>
      <c r="D58" s="142"/>
      <c r="E58" s="144">
        <v>0</v>
      </c>
      <c r="F58" s="144">
        <v>1.5498991935483872</v>
      </c>
      <c r="G58" s="144">
        <v>2.1686746987951806</v>
      </c>
      <c r="H58" s="144">
        <v>3.0601885424220447</v>
      </c>
      <c r="I58" s="144">
        <v>4.288164665523156</v>
      </c>
      <c r="J58" s="144">
        <v>1.5165301789505612</v>
      </c>
      <c r="K58" s="144">
        <v>1.5151515151515151</v>
      </c>
      <c r="L58" s="144">
        <v>6.4</v>
      </c>
      <c r="M58" s="144">
        <v>12.499999999999998</v>
      </c>
      <c r="N58" s="144">
        <v>16.07142857142857</v>
      </c>
      <c r="O58" s="144">
        <v>12.048192771084338</v>
      </c>
      <c r="P58" s="144">
        <v>57.74933666302481</v>
      </c>
      <c r="Q58" s="144">
        <v>63.06306306306306</v>
      </c>
      <c r="R58" s="144">
        <v>160.87331226659006</v>
      </c>
      <c r="S58" s="144">
        <v>180.9824762999138</v>
      </c>
      <c r="T58" s="144">
        <v>242.7463372594082</v>
      </c>
      <c r="U58" s="9"/>
      <c r="V58" s="9"/>
      <c r="W58" s="9"/>
      <c r="X58" s="9"/>
    </row>
    <row r="59" spans="1:24" ht="12.75">
      <c r="A59" s="145" t="s">
        <v>21</v>
      </c>
      <c r="B59" s="142"/>
      <c r="C59" s="142"/>
      <c r="D59" s="142"/>
      <c r="E59" s="142"/>
      <c r="F59" s="142"/>
      <c r="G59" s="142"/>
      <c r="H59" s="61">
        <v>1009.8214100124064</v>
      </c>
      <c r="I59" s="144">
        <v>1013.6587313704536</v>
      </c>
      <c r="J59" s="144">
        <v>890.5153869361022</v>
      </c>
      <c r="K59" s="144">
        <v>1046.22079655447</v>
      </c>
      <c r="L59" s="144">
        <v>926.6724962240368</v>
      </c>
      <c r="M59" s="144">
        <v>912.1157580637522</v>
      </c>
      <c r="N59" s="144">
        <v>1007.4445440892048</v>
      </c>
      <c r="O59" s="144">
        <v>1295.3684601194182</v>
      </c>
      <c r="P59" s="144">
        <v>1399.1363626400123</v>
      </c>
      <c r="Q59" s="144">
        <v>1443.179202788159</v>
      </c>
      <c r="R59" s="144">
        <v>1296.9993240465458</v>
      </c>
      <c r="S59" s="144">
        <v>1406.2908185484093</v>
      </c>
      <c r="T59" s="61">
        <v>1441.8699762576841</v>
      </c>
      <c r="U59" s="9"/>
      <c r="V59" s="9"/>
      <c r="W59" s="9"/>
      <c r="X59" s="9"/>
    </row>
    <row r="60" spans="1:24" ht="12.75">
      <c r="A60" s="145" t="s">
        <v>32</v>
      </c>
      <c r="B60" s="142"/>
      <c r="C60" s="142"/>
      <c r="D60" s="142"/>
      <c r="E60" s="149"/>
      <c r="F60" s="149"/>
      <c r="G60" s="149"/>
      <c r="H60" s="144">
        <v>8951.976641980806</v>
      </c>
      <c r="I60" s="144">
        <v>8778.854543217472</v>
      </c>
      <c r="J60" s="144">
        <v>8670.61879931421</v>
      </c>
      <c r="K60" s="144">
        <v>3986.007406622517</v>
      </c>
      <c r="L60" s="144">
        <v>2359.642921853926</v>
      </c>
      <c r="M60" s="144">
        <v>1852.346273056395</v>
      </c>
      <c r="N60" s="144">
        <v>905.5636896046852</v>
      </c>
      <c r="O60" s="144">
        <v>692.6819097922024</v>
      </c>
      <c r="P60" s="144">
        <v>643.84697382447</v>
      </c>
      <c r="Q60" s="144">
        <v>950.5791071629371</v>
      </c>
      <c r="R60" s="144">
        <v>1351.6076942977331</v>
      </c>
      <c r="S60" s="144">
        <v>2529.9987342365307</v>
      </c>
      <c r="T60" s="144">
        <v>2436.6260135070183</v>
      </c>
      <c r="U60" s="9"/>
      <c r="V60" s="9"/>
      <c r="W60" s="9"/>
      <c r="X60" s="9"/>
    </row>
    <row r="61" spans="1:24" s="1" customFormat="1" ht="12.75">
      <c r="A61" s="145" t="s">
        <v>8</v>
      </c>
      <c r="B61" s="142"/>
      <c r="C61" s="142"/>
      <c r="D61" s="142"/>
      <c r="E61" s="144">
        <v>37.55772960577778</v>
      </c>
      <c r="F61" s="144">
        <v>49.714331859568375</v>
      </c>
      <c r="G61" s="144">
        <v>48.69684334798818</v>
      </c>
      <c r="H61" s="144">
        <v>74.62924498112423</v>
      </c>
      <c r="I61" s="144">
        <v>69.0088570422818</v>
      </c>
      <c r="J61" s="144">
        <v>81.41573117517623</v>
      </c>
      <c r="K61" s="144">
        <v>139.70307763345446</v>
      </c>
      <c r="L61" s="144">
        <v>109.74345685410727</v>
      </c>
      <c r="M61" s="144">
        <v>128.59217631190248</v>
      </c>
      <c r="N61" s="144">
        <v>109.17410203614733</v>
      </c>
      <c r="O61" s="144">
        <v>123.20724065908563</v>
      </c>
      <c r="P61" s="144">
        <v>170.92902481246392</v>
      </c>
      <c r="Q61" s="144">
        <v>142.96534312600414</v>
      </c>
      <c r="R61" s="144">
        <v>151.37415313818227</v>
      </c>
      <c r="S61" s="144">
        <v>210.63340599555613</v>
      </c>
      <c r="T61" s="144">
        <v>186.49935388177997</v>
      </c>
      <c r="U61" s="9"/>
      <c r="V61" s="9"/>
      <c r="W61" s="9"/>
      <c r="X61" s="9"/>
    </row>
    <row r="62" spans="1:24" ht="12.75">
      <c r="A62" s="145" t="s">
        <v>14</v>
      </c>
      <c r="B62" s="142"/>
      <c r="C62" s="142"/>
      <c r="D62" s="142"/>
      <c r="E62" s="156">
        <v>2.268480916714493</v>
      </c>
      <c r="F62" s="156">
        <v>5.529099534971112</v>
      </c>
      <c r="G62" s="156">
        <v>4.02238074008025</v>
      </c>
      <c r="H62" s="156">
        <v>3.2721304724750757</v>
      </c>
      <c r="I62" s="156">
        <v>7.31561503168014</v>
      </c>
      <c r="J62" s="156">
        <v>9.769179428571428</v>
      </c>
      <c r="K62" s="156">
        <v>7.823311416616856</v>
      </c>
      <c r="L62" s="156">
        <v>7.009062706682707</v>
      </c>
      <c r="M62" s="156">
        <v>11.23830925951675</v>
      </c>
      <c r="N62" s="156">
        <v>8.319094073905516</v>
      </c>
      <c r="O62" s="156">
        <v>15.780158963071656</v>
      </c>
      <c r="P62" s="156">
        <v>13.408011737089202</v>
      </c>
      <c r="Q62" s="156">
        <v>10.126721962616822</v>
      </c>
      <c r="R62" s="156">
        <v>8.240467550593161</v>
      </c>
      <c r="S62" s="149"/>
      <c r="T62" s="149"/>
      <c r="U62" s="9"/>
      <c r="V62" s="9"/>
      <c r="W62" s="9"/>
      <c r="X62" s="9"/>
    </row>
    <row r="63" spans="1:24" s="1" customFormat="1" ht="12.75">
      <c r="A63" s="145" t="s">
        <v>17</v>
      </c>
      <c r="B63" s="142"/>
      <c r="C63" s="142"/>
      <c r="D63" s="142"/>
      <c r="E63" s="144">
        <v>22.56742573306764</v>
      </c>
      <c r="F63" s="144">
        <v>58.36435708600973</v>
      </c>
      <c r="G63" s="144">
        <v>98.73828917342799</v>
      </c>
      <c r="H63" s="144">
        <v>356.3020285499625</v>
      </c>
      <c r="I63" s="144">
        <v>394.4890362060174</v>
      </c>
      <c r="J63" s="144">
        <v>456.3051307350765</v>
      </c>
      <c r="K63" s="144">
        <v>486.59809714571855</v>
      </c>
      <c r="L63" s="144">
        <v>441.42551238910977</v>
      </c>
      <c r="M63" s="144">
        <v>630.8603553860054</v>
      </c>
      <c r="N63" s="144">
        <v>735.7692307692307</v>
      </c>
      <c r="O63" s="144">
        <v>633.8343460185482</v>
      </c>
      <c r="P63" s="144">
        <v>707.3047322308328</v>
      </c>
      <c r="Q63" s="144">
        <v>1095.2851147864724</v>
      </c>
      <c r="R63" s="144">
        <v>1331.4001657000829</v>
      </c>
      <c r="S63" s="144">
        <v>1949.9120766918147</v>
      </c>
      <c r="T63" s="144">
        <v>2808.149303888622</v>
      </c>
      <c r="U63" s="9"/>
      <c r="V63" s="9"/>
      <c r="W63" s="9"/>
      <c r="X63" s="9"/>
    </row>
    <row r="64" spans="19:24" ht="12.75">
      <c r="S64" s="9"/>
      <c r="T64" s="9"/>
      <c r="U64" s="9"/>
      <c r="V64" s="9"/>
      <c r="W64" s="9"/>
      <c r="X64" s="9"/>
    </row>
    <row r="65" spans="19:24" ht="12.75">
      <c r="S65" s="9"/>
      <c r="T65" s="9"/>
      <c r="U65" s="9"/>
      <c r="V65" s="9"/>
      <c r="W65" s="9"/>
      <c r="X65" s="9"/>
    </row>
    <row r="66" spans="19:24" ht="12.75">
      <c r="S66" s="9"/>
      <c r="T66" s="9"/>
      <c r="U66" s="9"/>
      <c r="V66" s="9"/>
      <c r="W66" s="9"/>
      <c r="X66" s="9"/>
    </row>
    <row r="67" spans="19:24" ht="12.75">
      <c r="S67" s="9"/>
      <c r="T67" s="9"/>
      <c r="U67" s="9"/>
      <c r="V67" s="9"/>
      <c r="W67" s="9"/>
      <c r="X67" s="9"/>
    </row>
    <row r="68" spans="19:24" ht="12.75">
      <c r="S68" s="9"/>
      <c r="T68" s="9"/>
      <c r="U68" s="9"/>
      <c r="V68" s="9"/>
      <c r="W68" s="9"/>
      <c r="X68" s="9"/>
    </row>
    <row r="69" spans="19:24" ht="12.75">
      <c r="S69" s="9"/>
      <c r="T69" s="9"/>
      <c r="U69" s="9"/>
      <c r="V69" s="9"/>
      <c r="W69" s="9"/>
      <c r="X69" s="9"/>
    </row>
    <row r="70" spans="19:24" ht="12.75">
      <c r="S70" s="9"/>
      <c r="T70" s="9"/>
      <c r="U70" s="9"/>
      <c r="V70" s="9"/>
      <c r="W70" s="9"/>
      <c r="X70" s="9"/>
    </row>
    <row r="71" spans="19:24" ht="12.75">
      <c r="S71" s="9"/>
      <c r="T71" s="9"/>
      <c r="U71" s="9"/>
      <c r="V71" s="9"/>
      <c r="W71" s="9"/>
      <c r="X71" s="9"/>
    </row>
    <row r="72" spans="19:24" ht="12.75">
      <c r="S72" s="9"/>
      <c r="T72" s="9"/>
      <c r="U72" s="9"/>
      <c r="V72" s="9"/>
      <c r="W72" s="9"/>
      <c r="X72" s="9"/>
    </row>
    <row r="73" spans="19:24" ht="12.75">
      <c r="S73" s="9"/>
      <c r="T73" s="9"/>
      <c r="U73" s="9"/>
      <c r="V73" s="9"/>
      <c r="W73" s="9"/>
      <c r="X73" s="9"/>
    </row>
    <row r="74" spans="19:24" ht="12.75">
      <c r="S74" s="9"/>
      <c r="T74" s="9"/>
      <c r="U74" s="9"/>
      <c r="V74" s="9"/>
      <c r="W74" s="9"/>
      <c r="X74" s="9"/>
    </row>
    <row r="75" spans="19:24" ht="12.75">
      <c r="S75" s="9"/>
      <c r="T75" s="9"/>
      <c r="U75" s="9"/>
      <c r="V75" s="9"/>
      <c r="W75" s="9"/>
      <c r="X75" s="9"/>
    </row>
    <row r="76" spans="19:24" ht="12.75">
      <c r="S76" s="9"/>
      <c r="T76" s="9"/>
      <c r="U76" s="9"/>
      <c r="V76" s="9"/>
      <c r="W76" s="9"/>
      <c r="X76" s="9"/>
    </row>
    <row r="77" spans="19:24" ht="12.75">
      <c r="S77" s="9"/>
      <c r="T77" s="9"/>
      <c r="U77" s="9"/>
      <c r="V77" s="9"/>
      <c r="W77" s="9"/>
      <c r="X77" s="9"/>
    </row>
    <row r="78" spans="19:24" ht="12.75">
      <c r="S78" s="9"/>
      <c r="T78" s="9"/>
      <c r="U78" s="9"/>
      <c r="V78" s="9"/>
      <c r="W78" s="9"/>
      <c r="X78" s="9"/>
    </row>
    <row r="79" spans="19:24" ht="12.75">
      <c r="S79" s="9"/>
      <c r="T79" s="9"/>
      <c r="U79" s="9"/>
      <c r="V79" s="9"/>
      <c r="W79" s="9"/>
      <c r="X79" s="9"/>
    </row>
    <row r="80" spans="19:24" ht="12.75">
      <c r="S80" s="9"/>
      <c r="T80" s="9"/>
      <c r="U80" s="9"/>
      <c r="V80" s="9"/>
      <c r="W80" s="9"/>
      <c r="X80" s="9"/>
    </row>
    <row r="81" spans="19:24" ht="12.75">
      <c r="S81" s="9"/>
      <c r="T81" s="9"/>
      <c r="U81" s="9"/>
      <c r="V81" s="9"/>
      <c r="W81" s="9"/>
      <c r="X81" s="9"/>
    </row>
    <row r="82" spans="19:24" ht="12.75">
      <c r="S82" s="9"/>
      <c r="T82" s="9"/>
      <c r="U82" s="9"/>
      <c r="V82" s="9"/>
      <c r="W82" s="9"/>
      <c r="X82" s="9"/>
    </row>
    <row r="83" spans="19:24" ht="12.75">
      <c r="S83" s="9"/>
      <c r="T83" s="9"/>
      <c r="U83" s="9"/>
      <c r="V83" s="9"/>
      <c r="W83" s="9"/>
      <c r="X83" s="9"/>
    </row>
    <row r="84" spans="19:24" ht="12.75">
      <c r="S84" s="9"/>
      <c r="T84" s="9"/>
      <c r="U84" s="9"/>
      <c r="V84" s="9"/>
      <c r="W84" s="9"/>
      <c r="X84" s="9"/>
    </row>
    <row r="85" spans="19:24" ht="12.75">
      <c r="S85" s="9"/>
      <c r="T85" s="9"/>
      <c r="U85" s="9"/>
      <c r="V85" s="9"/>
      <c r="W85" s="9"/>
      <c r="X85" s="9"/>
    </row>
    <row r="86" spans="19:24" ht="12.75">
      <c r="S86" s="9"/>
      <c r="T86" s="9"/>
      <c r="U86" s="9"/>
      <c r="V86" s="9"/>
      <c r="W86" s="9"/>
      <c r="X86" s="9"/>
    </row>
    <row r="87" spans="19:24" ht="12.75">
      <c r="S87" s="9"/>
      <c r="T87" s="9"/>
      <c r="U87" s="9"/>
      <c r="V87" s="9"/>
      <c r="W87" s="9"/>
      <c r="X87" s="9"/>
    </row>
    <row r="88" spans="19:24" ht="12.75">
      <c r="S88" s="9"/>
      <c r="T88" s="9"/>
      <c r="U88" s="9"/>
      <c r="V88" s="9"/>
      <c r="W88" s="9"/>
      <c r="X88" s="9"/>
    </row>
    <row r="89" spans="19:24" ht="12.75">
      <c r="S89" s="9"/>
      <c r="T89" s="9"/>
      <c r="U89" s="9"/>
      <c r="V89" s="9"/>
      <c r="W89" s="9"/>
      <c r="X89" s="9"/>
    </row>
    <row r="90" spans="19:24" ht="12.75">
      <c r="S90" s="9"/>
      <c r="T90" s="9"/>
      <c r="U90" s="9"/>
      <c r="V90" s="9"/>
      <c r="W90" s="9"/>
      <c r="X90" s="9"/>
    </row>
    <row r="91" spans="19:24" ht="12.75">
      <c r="S91" s="9"/>
      <c r="T91" s="9"/>
      <c r="U91" s="9"/>
      <c r="V91" s="9"/>
      <c r="W91" s="9"/>
      <c r="X91" s="9"/>
    </row>
    <row r="92" spans="1:24" s="21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s="15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9:24" ht="12.75">
      <c r="S94" s="9"/>
      <c r="T94" s="9"/>
      <c r="U94" s="9"/>
      <c r="V94" s="9"/>
      <c r="W94" s="9"/>
      <c r="X94" s="9"/>
    </row>
    <row r="95" spans="19:24" ht="12.75">
      <c r="S95" s="9"/>
      <c r="T95" s="9"/>
      <c r="U95" s="9"/>
      <c r="V95" s="9"/>
      <c r="W95" s="9"/>
      <c r="X95" s="9"/>
    </row>
    <row r="96" spans="19:24" ht="12.75">
      <c r="S96" s="9"/>
      <c r="T96" s="9"/>
      <c r="U96" s="9"/>
      <c r="V96" s="9"/>
      <c r="W96" s="9"/>
      <c r="X96" s="9"/>
    </row>
    <row r="97" spans="1:24" s="1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s="1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1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1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s="1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s="1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1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1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1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s="1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s="1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9:24" ht="12.75">
      <c r="S109" s="9"/>
      <c r="T109" s="9"/>
      <c r="U109" s="9"/>
      <c r="V109" s="9"/>
      <c r="W109" s="9"/>
      <c r="X109" s="9"/>
    </row>
    <row r="110" spans="1:24" s="1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1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s="1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s="1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1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1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s="1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s="1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1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1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1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s="1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s="1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1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1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1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s="1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s="1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1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1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s="1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s="1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9:24" ht="12.75">
      <c r="S134" s="9"/>
      <c r="T134" s="9"/>
      <c r="U134" s="9"/>
      <c r="V134" s="9"/>
      <c r="W134" s="9"/>
      <c r="X134" s="9"/>
    </row>
    <row r="135" spans="19:24" ht="12.75">
      <c r="S135" s="9"/>
      <c r="T135" s="9"/>
      <c r="U135" s="9"/>
      <c r="V135" s="9"/>
      <c r="W135" s="9"/>
      <c r="X135" s="9"/>
    </row>
    <row r="136" spans="19:24" ht="12.75">
      <c r="S136" s="9"/>
      <c r="T136" s="9"/>
      <c r="U136" s="9"/>
      <c r="V136" s="9"/>
      <c r="W136" s="9"/>
      <c r="X136" s="9"/>
    </row>
    <row r="137" spans="19:24" ht="12.75">
      <c r="S137" s="9"/>
      <c r="T137" s="9"/>
      <c r="U137" s="9"/>
      <c r="V137" s="9"/>
      <c r="W137" s="9"/>
      <c r="X137" s="9"/>
    </row>
    <row r="138" spans="19:24" ht="12.75">
      <c r="S138" s="9"/>
      <c r="T138" s="9"/>
      <c r="U138" s="9"/>
      <c r="V138" s="9"/>
      <c r="W138" s="9"/>
      <c r="X138" s="9"/>
    </row>
    <row r="139" spans="19:24" ht="12.75">
      <c r="S139" s="9"/>
      <c r="T139" s="9"/>
      <c r="U139" s="9"/>
      <c r="V139" s="9"/>
      <c r="W139" s="9"/>
      <c r="X139" s="9"/>
    </row>
    <row r="140" spans="19:24" ht="12.75">
      <c r="S140" s="9"/>
      <c r="T140" s="9"/>
      <c r="U140" s="9"/>
      <c r="V140" s="9"/>
      <c r="W140" s="9"/>
      <c r="X140" s="9"/>
    </row>
    <row r="141" spans="19:24" ht="12.75">
      <c r="S141" s="9"/>
      <c r="T141" s="9"/>
      <c r="U141" s="9"/>
      <c r="V141" s="9"/>
      <c r="W141" s="9"/>
      <c r="X141" s="9"/>
    </row>
    <row r="142" spans="19:24" ht="12.75">
      <c r="S142" s="9"/>
      <c r="T142" s="9"/>
      <c r="U142" s="9"/>
      <c r="V142" s="9"/>
      <c r="W142" s="9"/>
      <c r="X142" s="9"/>
    </row>
    <row r="143" spans="1:24" s="21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s="15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9:24" ht="12.75">
      <c r="S145" s="9"/>
      <c r="T145" s="9"/>
      <c r="U145" s="9"/>
      <c r="V145" s="9"/>
      <c r="W145" s="9"/>
      <c r="X145" s="9"/>
    </row>
    <row r="146" spans="19:24" ht="12.75">
      <c r="S146" s="9"/>
      <c r="T146" s="9"/>
      <c r="U146" s="9"/>
      <c r="V146" s="9"/>
      <c r="W146" s="9"/>
      <c r="X146" s="9"/>
    </row>
    <row r="147" spans="1:24" s="1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s="1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s="1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s="1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s="1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s="1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s="1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s="1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s="1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s="1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9:24" ht="12.75">
      <c r="S157" s="9"/>
      <c r="T157" s="9"/>
      <c r="U157" s="9"/>
      <c r="V157" s="9"/>
      <c r="W157" s="9"/>
      <c r="X157" s="9"/>
    </row>
    <row r="158" spans="19:24" ht="12.75">
      <c r="S158" s="9"/>
      <c r="T158" s="9"/>
      <c r="U158" s="9"/>
      <c r="V158" s="9"/>
      <c r="W158" s="9"/>
      <c r="X158" s="9"/>
    </row>
    <row r="159" spans="19:24" ht="12.75">
      <c r="S159" s="9"/>
      <c r="T159" s="9"/>
      <c r="U159" s="9"/>
      <c r="V159" s="9"/>
      <c r="W159" s="9"/>
      <c r="X159" s="9"/>
    </row>
    <row r="160" spans="19:24" ht="12.75">
      <c r="S160" s="9"/>
      <c r="T160" s="9"/>
      <c r="U160" s="9"/>
      <c r="V160" s="9"/>
      <c r="W160" s="9"/>
      <c r="X160" s="9"/>
    </row>
    <row r="161" spans="1:24" s="1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s="1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s="1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s="1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s="1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s="1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s="1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s="1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s="1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s="1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s="1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s="1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s="1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9:24" ht="12.75">
      <c r="S174" s="9"/>
      <c r="T174" s="9"/>
      <c r="U174" s="9"/>
      <c r="V174" s="9"/>
      <c r="W174" s="9"/>
      <c r="X174" s="9"/>
    </row>
    <row r="175" spans="19:24" ht="12.75">
      <c r="S175" s="9"/>
      <c r="T175" s="9"/>
      <c r="U175" s="9"/>
      <c r="V175" s="9"/>
      <c r="W175" s="9"/>
      <c r="X175" s="9"/>
    </row>
    <row r="176" spans="19:24" ht="12.75">
      <c r="S176" s="9"/>
      <c r="T176" s="9"/>
      <c r="U176" s="9"/>
      <c r="V176" s="9"/>
      <c r="W176" s="9"/>
      <c r="X176" s="9"/>
    </row>
    <row r="177" spans="19:24" ht="12.75">
      <c r="S177" s="9"/>
      <c r="T177" s="9"/>
      <c r="U177" s="9"/>
      <c r="V177" s="9"/>
      <c r="W177" s="9"/>
      <c r="X177" s="9"/>
    </row>
    <row r="178" spans="19:24" ht="12.75">
      <c r="S178" s="9"/>
      <c r="T178" s="9"/>
      <c r="U178" s="9"/>
      <c r="V178" s="9"/>
      <c r="W178" s="9"/>
      <c r="X178" s="9"/>
    </row>
    <row r="179" spans="19:24" ht="12.75">
      <c r="S179" s="9"/>
      <c r="T179" s="9"/>
      <c r="U179" s="9"/>
      <c r="V179" s="9"/>
      <c r="W179" s="9"/>
      <c r="X179" s="9"/>
    </row>
    <row r="180" spans="19:24" ht="12.75">
      <c r="S180" s="9"/>
      <c r="T180" s="9"/>
      <c r="U180" s="9"/>
      <c r="V180" s="9"/>
      <c r="W180" s="9"/>
      <c r="X180" s="9"/>
    </row>
    <row r="181" spans="19:24" ht="12.75">
      <c r="S181" s="9"/>
      <c r="T181" s="9"/>
      <c r="U181" s="9"/>
      <c r="V181" s="9"/>
      <c r="W181" s="9"/>
      <c r="X181" s="9"/>
    </row>
    <row r="182" spans="19:24" ht="12.75">
      <c r="S182" s="9"/>
      <c r="T182" s="9"/>
      <c r="U182" s="9"/>
      <c r="V182" s="9"/>
      <c r="W182" s="9"/>
      <c r="X182" s="9"/>
    </row>
    <row r="183" spans="19:24" ht="12.75">
      <c r="S183" s="9"/>
      <c r="T183" s="9"/>
      <c r="U183" s="9"/>
      <c r="V183" s="9"/>
      <c r="W183" s="9"/>
      <c r="X183" s="9"/>
    </row>
    <row r="184" spans="19:24" ht="12.75">
      <c r="S184" s="9"/>
      <c r="T184" s="9"/>
      <c r="U184" s="9"/>
      <c r="V184" s="9"/>
      <c r="W184" s="9"/>
      <c r="X184" s="9"/>
    </row>
    <row r="185" spans="19:24" ht="12.75">
      <c r="S185" s="9"/>
      <c r="T185" s="9"/>
      <c r="U185" s="9"/>
      <c r="V185" s="9"/>
      <c r="W185" s="9"/>
      <c r="X185" s="9"/>
    </row>
    <row r="186" spans="19:24" ht="12.75">
      <c r="S186" s="9"/>
      <c r="T186" s="9"/>
      <c r="U186" s="9"/>
      <c r="V186" s="9"/>
      <c r="W186" s="9"/>
      <c r="X186" s="9"/>
    </row>
    <row r="187" spans="19:24" ht="12.75">
      <c r="S187" s="9"/>
      <c r="T187" s="9"/>
      <c r="U187" s="9"/>
      <c r="V187" s="9"/>
      <c r="W187" s="9"/>
      <c r="X187" s="9"/>
    </row>
    <row r="188" spans="19:24" ht="12.75">
      <c r="S188" s="9"/>
      <c r="T188" s="9"/>
      <c r="U188" s="9"/>
      <c r="V188" s="9"/>
      <c r="W188" s="9"/>
      <c r="X188" s="9"/>
    </row>
    <row r="189" spans="19:24" ht="12.75">
      <c r="S189" s="9"/>
      <c r="T189" s="9"/>
      <c r="U189" s="9"/>
      <c r="V189" s="9"/>
      <c r="W189" s="9"/>
      <c r="X189" s="9"/>
    </row>
    <row r="190" spans="19:24" ht="12.75">
      <c r="S190" s="9"/>
      <c r="T190" s="9"/>
      <c r="U190" s="9"/>
      <c r="V190" s="9"/>
      <c r="W190" s="9"/>
      <c r="X190" s="9"/>
    </row>
    <row r="191" spans="19:24" ht="12.75">
      <c r="S191" s="9"/>
      <c r="T191" s="9"/>
      <c r="U191" s="9"/>
      <c r="V191" s="9"/>
      <c r="W191" s="9"/>
      <c r="X191" s="9"/>
    </row>
    <row r="192" spans="19:24" ht="12.75">
      <c r="S192" s="9"/>
      <c r="T192" s="9"/>
      <c r="U192" s="9"/>
      <c r="V192" s="9"/>
      <c r="W192" s="9"/>
      <c r="X192" s="9"/>
    </row>
    <row r="193" spans="19:24" ht="12.75">
      <c r="S193" s="9"/>
      <c r="T193" s="9"/>
      <c r="U193" s="9"/>
      <c r="V193" s="9"/>
      <c r="W193" s="9"/>
      <c r="X193" s="9"/>
    </row>
    <row r="194" spans="1:24" s="21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s="15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9:24" ht="12.75">
      <c r="S196" s="9"/>
      <c r="T196" s="9"/>
      <c r="U196" s="9"/>
      <c r="V196" s="9"/>
      <c r="W196" s="9"/>
      <c r="X196" s="9"/>
    </row>
    <row r="197" spans="19:24" ht="12.75">
      <c r="S197" s="9"/>
      <c r="T197" s="9"/>
      <c r="U197" s="9"/>
      <c r="V197" s="9"/>
      <c r="W197" s="9"/>
      <c r="X197" s="9"/>
    </row>
    <row r="198" spans="19:24" ht="12.75">
      <c r="S198" s="9"/>
      <c r="T198" s="9"/>
      <c r="U198" s="9"/>
      <c r="V198" s="9"/>
      <c r="W198" s="9"/>
      <c r="X198" s="9"/>
    </row>
    <row r="199" spans="1:24" s="1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s="1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s="1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s="1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s="1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s="1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s="1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s="1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s="1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s="1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9:24" ht="12.75">
      <c r="S209" s="9"/>
      <c r="T209" s="9"/>
      <c r="U209" s="9"/>
      <c r="V209" s="9"/>
      <c r="W209" s="9"/>
      <c r="X209" s="9"/>
    </row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</sheetData>
  <sheetProtection/>
  <conditionalFormatting sqref="E43:T45">
    <cfRule type="cellIs" priority="1" dxfId="0" operator="notEqual">
      <formula>1</formula>
    </cfRule>
  </conditionalFormatting>
  <printOptions/>
  <pageMargins left="0.3937007874015748" right="0" top="0.17" bottom="0.1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U60"/>
  <sheetViews>
    <sheetView zoomScale="90" zoomScaleNormal="90" zoomScalePageLayoutView="0" workbookViewId="0" topLeftCell="A1">
      <selection activeCell="O29" sqref="O29"/>
    </sheetView>
  </sheetViews>
  <sheetFormatPr defaultColWidth="9.140625" defaultRowHeight="12.75"/>
  <cols>
    <col min="1" max="1" width="19.140625" style="0" customWidth="1"/>
    <col min="2" max="2" width="9.421875" style="0" customWidth="1"/>
    <col min="3" max="3" width="10.00390625" style="0" customWidth="1"/>
    <col min="4" max="4" width="9.8515625" style="0" customWidth="1"/>
    <col min="5" max="5" width="8.140625" style="0" customWidth="1"/>
    <col min="6" max="6" width="7.7109375" style="0" customWidth="1"/>
    <col min="7" max="7" width="8.28125" style="0" customWidth="1"/>
    <col min="8" max="9" width="8.140625" style="0" customWidth="1"/>
    <col min="10" max="10" width="8.28125" style="0" customWidth="1"/>
    <col min="11" max="11" width="7.8515625" style="0" customWidth="1"/>
    <col min="12" max="12" width="8.00390625" style="0" customWidth="1"/>
    <col min="13" max="13" width="8.140625" style="0" customWidth="1"/>
    <col min="14" max="15" width="7.8515625" style="0" customWidth="1"/>
    <col min="16" max="16" width="8.00390625" style="0" customWidth="1"/>
    <col min="17" max="17" width="8.140625" style="0" customWidth="1"/>
    <col min="18" max="18" width="8.57421875" style="0" customWidth="1"/>
    <col min="19" max="19" width="8.28125" style="0" customWidth="1"/>
    <col min="20" max="20" width="7.7109375" style="0" customWidth="1"/>
    <col min="21" max="21" width="9.140625" style="62" customWidth="1"/>
  </cols>
  <sheetData>
    <row r="1" spans="1:4" ht="30" customHeight="1">
      <c r="A1" s="46" t="s">
        <v>255</v>
      </c>
      <c r="B1" s="46"/>
      <c r="C1" s="46"/>
      <c r="D1" s="46"/>
    </row>
    <row r="2" ht="12.75">
      <c r="A2" s="9" t="s">
        <v>232</v>
      </c>
    </row>
    <row r="3" spans="1:20" ht="12.75">
      <c r="A3" s="47"/>
      <c r="B3" s="47" t="s">
        <v>34</v>
      </c>
      <c r="C3" s="47" t="s">
        <v>134</v>
      </c>
      <c r="D3" s="47" t="s">
        <v>28</v>
      </c>
      <c r="E3" s="69">
        <v>1992</v>
      </c>
      <c r="F3" s="69">
        <v>1993</v>
      </c>
      <c r="G3" s="69">
        <v>1994</v>
      </c>
      <c r="H3" s="69">
        <v>1995</v>
      </c>
      <c r="I3" s="69">
        <v>1996</v>
      </c>
      <c r="J3" s="69">
        <v>1997</v>
      </c>
      <c r="K3" s="69">
        <v>1998</v>
      </c>
      <c r="L3" s="69">
        <v>1999</v>
      </c>
      <c r="M3" s="69">
        <v>2000</v>
      </c>
      <c r="N3" s="69">
        <v>2001</v>
      </c>
      <c r="O3" s="69">
        <v>2002</v>
      </c>
      <c r="P3" s="69">
        <v>2003</v>
      </c>
      <c r="Q3" s="69">
        <v>2004</v>
      </c>
      <c r="R3" s="69">
        <v>2005</v>
      </c>
      <c r="S3" s="69">
        <v>2006</v>
      </c>
      <c r="T3" s="69">
        <v>2007</v>
      </c>
    </row>
    <row r="4" spans="1:20" ht="12.75">
      <c r="A4" s="62" t="s">
        <v>0</v>
      </c>
      <c r="B4" s="132" t="s">
        <v>210</v>
      </c>
      <c r="C4" s="132" t="s">
        <v>210</v>
      </c>
      <c r="D4" s="132" t="s">
        <v>210</v>
      </c>
      <c r="E4" s="63">
        <v>640.38</v>
      </c>
      <c r="F4" s="63">
        <v>787.83</v>
      </c>
      <c r="G4" s="63">
        <v>696.15</v>
      </c>
      <c r="H4" s="63">
        <v>521.3</v>
      </c>
      <c r="I4" s="63">
        <v>590.33</v>
      </c>
      <c r="J4" s="63">
        <v>710</v>
      </c>
      <c r="K4" s="63">
        <v>979</v>
      </c>
      <c r="L4" s="63">
        <v>1120</v>
      </c>
      <c r="M4" s="63">
        <v>1198.7</v>
      </c>
      <c r="N4" s="63">
        <v>1071</v>
      </c>
      <c r="O4" s="63">
        <v>1191</v>
      </c>
      <c r="P4" s="63">
        <v>1145</v>
      </c>
      <c r="Q4" s="63">
        <v>1334.7</v>
      </c>
      <c r="R4" s="63">
        <v>1330.0981709900004</v>
      </c>
      <c r="S4" s="63">
        <v>1489.072400759999</v>
      </c>
      <c r="T4" s="63">
        <v>1505.2161650600024</v>
      </c>
    </row>
    <row r="5" spans="1:21" ht="12.75">
      <c r="A5" s="62" t="s">
        <v>1</v>
      </c>
      <c r="B5" s="132" t="s">
        <v>210</v>
      </c>
      <c r="C5" s="132" t="s">
        <v>210</v>
      </c>
      <c r="D5" s="132" t="s">
        <v>212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2" t="s">
        <v>251</v>
      </c>
    </row>
    <row r="6" spans="1:20" ht="12.75">
      <c r="A6" s="62" t="s">
        <v>2</v>
      </c>
      <c r="B6" s="132" t="s">
        <v>210</v>
      </c>
      <c r="C6" s="132" t="s">
        <v>210</v>
      </c>
      <c r="D6" s="132" t="s">
        <v>212</v>
      </c>
      <c r="E6" s="124">
        <f>F6</f>
        <v>74.5805695385182</v>
      </c>
      <c r="F6" s="63">
        <v>74.5805695385182</v>
      </c>
      <c r="G6" s="63">
        <v>92.25168603154755</v>
      </c>
      <c r="H6" s="63">
        <v>113.5952902621473</v>
      </c>
      <c r="I6" s="63">
        <v>161.9467674466164</v>
      </c>
      <c r="J6" s="63">
        <v>280.9418834297263</v>
      </c>
      <c r="K6" s="63">
        <v>301.7088695399748</v>
      </c>
      <c r="L6" s="63">
        <v>268.6947564719894</v>
      </c>
      <c r="M6" s="63">
        <v>370.68239258635214</v>
      </c>
      <c r="N6" s="63">
        <v>393.65666167884285</v>
      </c>
      <c r="O6" s="63">
        <v>473.8316240425808</v>
      </c>
      <c r="P6" s="63">
        <v>415.9025248084411</v>
      </c>
      <c r="Q6" s="63">
        <v>411.75401203610835</v>
      </c>
      <c r="R6" s="63">
        <v>484.48959032907993</v>
      </c>
      <c r="S6" s="63">
        <v>464.92961224993826</v>
      </c>
      <c r="T6" s="63">
        <v>612.4378647071536</v>
      </c>
    </row>
    <row r="7" spans="1:20" ht="12.75">
      <c r="A7" s="62" t="s">
        <v>3</v>
      </c>
      <c r="B7" s="132" t="s">
        <v>210</v>
      </c>
      <c r="C7" s="132" t="s">
        <v>210</v>
      </c>
      <c r="D7" s="132" t="s">
        <v>210</v>
      </c>
      <c r="E7" s="63">
        <v>723.7570829465058</v>
      </c>
      <c r="F7" s="63">
        <v>818.8485288249695</v>
      </c>
      <c r="G7" s="63">
        <v>753.5183509114281</v>
      </c>
      <c r="H7" s="63">
        <v>725.9785578019385</v>
      </c>
      <c r="I7" s="63">
        <v>1033.6524474597884</v>
      </c>
      <c r="J7" s="63">
        <v>872.172636786883</v>
      </c>
      <c r="K7" s="63">
        <v>818.0763537930206</v>
      </c>
      <c r="L7" s="63">
        <v>632.9979879275654</v>
      </c>
      <c r="M7" s="63">
        <v>563.8734605167833</v>
      </c>
      <c r="N7" s="63">
        <v>459.73618174742694</v>
      </c>
      <c r="O7" s="63">
        <v>478.4334836148307</v>
      </c>
      <c r="P7" s="63">
        <v>337.9224030037547</v>
      </c>
      <c r="Q7" s="63">
        <v>341.53684861355663</v>
      </c>
      <c r="R7" s="63">
        <v>240.88139778308596</v>
      </c>
      <c r="S7" s="63">
        <v>178.16134523123642</v>
      </c>
      <c r="T7" s="63">
        <v>232.05475751580028</v>
      </c>
    </row>
    <row r="8" spans="1:20" ht="12.75">
      <c r="A8" s="62" t="s">
        <v>4</v>
      </c>
      <c r="B8" s="132" t="s">
        <v>210</v>
      </c>
      <c r="C8" s="132" t="s">
        <v>210</v>
      </c>
      <c r="D8" s="132" t="s">
        <v>212</v>
      </c>
      <c r="E8" s="63">
        <v>0.33905091576037816</v>
      </c>
      <c r="F8" s="63">
        <v>3.1967657771692797</v>
      </c>
      <c r="G8" s="63">
        <v>3.702981874878191</v>
      </c>
      <c r="H8" s="63">
        <v>3.803956114358933</v>
      </c>
      <c r="I8" s="63">
        <v>0</v>
      </c>
      <c r="J8" s="63">
        <v>0</v>
      </c>
      <c r="K8" s="63">
        <v>15.339564772893237</v>
      </c>
      <c r="L8" s="63">
        <v>25.580252661551317</v>
      </c>
      <c r="M8" s="63">
        <v>20.032658852402438</v>
      </c>
      <c r="N8" s="63">
        <v>14.830825866322396</v>
      </c>
      <c r="O8" s="63">
        <v>17.97540679764294</v>
      </c>
      <c r="P8" s="63">
        <v>16.179617297048562</v>
      </c>
      <c r="Q8" s="63">
        <v>22.09968938938811</v>
      </c>
      <c r="R8" s="63">
        <v>20.645891120115554</v>
      </c>
      <c r="S8" s="63">
        <v>21.985607096749455</v>
      </c>
      <c r="T8" s="63">
        <v>27.418097222399755</v>
      </c>
    </row>
    <row r="9" spans="1:20" ht="12.75">
      <c r="A9" s="62" t="s">
        <v>5</v>
      </c>
      <c r="B9" s="132" t="s">
        <v>210</v>
      </c>
      <c r="C9" s="132" t="s">
        <v>210</v>
      </c>
      <c r="D9" s="132" t="s">
        <v>210</v>
      </c>
      <c r="E9" s="63">
        <v>174.41087974058695</v>
      </c>
      <c r="F9" s="63">
        <v>160.95584562366605</v>
      </c>
      <c r="G9" s="63">
        <v>212.75772697381146</v>
      </c>
      <c r="H9" s="63">
        <v>225.7081973113478</v>
      </c>
      <c r="I9" s="63">
        <v>191.56604823966106</v>
      </c>
      <c r="J9" s="63">
        <v>224.3626938996557</v>
      </c>
      <c r="K9" s="63">
        <v>254.46833273626618</v>
      </c>
      <c r="L9" s="63">
        <v>263.8868566181108</v>
      </c>
      <c r="M9" s="63">
        <v>233.1084660756543</v>
      </c>
      <c r="N9" s="63">
        <v>203.7</v>
      </c>
      <c r="O9" s="63">
        <v>224.9</v>
      </c>
      <c r="P9" s="63">
        <v>274.8</v>
      </c>
      <c r="Q9" s="63">
        <v>328.3</v>
      </c>
      <c r="R9" s="63">
        <v>281.2</v>
      </c>
      <c r="S9" s="63">
        <v>234</v>
      </c>
      <c r="T9" s="63">
        <v>211</v>
      </c>
    </row>
    <row r="10" spans="1:20" ht="12.75">
      <c r="A10" s="62" t="s">
        <v>6</v>
      </c>
      <c r="B10" s="132" t="s">
        <v>210</v>
      </c>
      <c r="C10" s="132" t="s">
        <v>210</v>
      </c>
      <c r="D10" s="132" t="s">
        <v>210</v>
      </c>
      <c r="E10" s="63">
        <v>3600.6933381303957</v>
      </c>
      <c r="F10" s="63">
        <v>3388.3318571186837</v>
      </c>
      <c r="G10" s="63">
        <v>2840.131793577933</v>
      </c>
      <c r="H10" s="63">
        <v>2765.572478744794</v>
      </c>
      <c r="I10" s="63">
        <v>2962.8395890736742</v>
      </c>
      <c r="J10" s="63">
        <v>3024.1748435187064</v>
      </c>
      <c r="K10" s="63">
        <v>2879.0437234757765</v>
      </c>
      <c r="L10" s="63">
        <v>2891.270600237516</v>
      </c>
      <c r="M10" s="63">
        <v>2954.75</v>
      </c>
      <c r="N10" s="63">
        <v>2443.638</v>
      </c>
      <c r="O10" s="63">
        <v>3044.6420000000003</v>
      </c>
      <c r="P10" s="63">
        <v>3633.5640000000003</v>
      </c>
      <c r="Q10" s="63">
        <v>3680.498</v>
      </c>
      <c r="R10" s="63">
        <v>4117.816000000001</v>
      </c>
      <c r="S10" s="63">
        <v>4214.08</v>
      </c>
      <c r="T10" s="63">
        <v>4423.646368364467</v>
      </c>
    </row>
    <row r="11" spans="1:20" ht="12.75">
      <c r="A11" s="62" t="s">
        <v>7</v>
      </c>
      <c r="B11" s="132" t="s">
        <v>210</v>
      </c>
      <c r="C11" s="132" t="s">
        <v>210</v>
      </c>
      <c r="D11" s="132" t="s">
        <v>210</v>
      </c>
      <c r="E11" s="63">
        <v>4673</v>
      </c>
      <c r="F11" s="63">
        <v>4847</v>
      </c>
      <c r="G11" s="63">
        <v>5471</v>
      </c>
      <c r="H11" s="63">
        <v>5747</v>
      </c>
      <c r="I11" s="63">
        <v>5200</v>
      </c>
      <c r="J11" s="63">
        <v>4745</v>
      </c>
      <c r="K11" s="63">
        <v>4423</v>
      </c>
      <c r="L11" s="63">
        <v>7355</v>
      </c>
      <c r="M11" s="63">
        <v>5305</v>
      </c>
      <c r="N11" s="63">
        <v>5481</v>
      </c>
      <c r="O11" s="63">
        <v>7422</v>
      </c>
      <c r="P11" s="63">
        <v>7228</v>
      </c>
      <c r="Q11" s="63">
        <v>6404</v>
      </c>
      <c r="R11" s="63">
        <v>4284</v>
      </c>
      <c r="S11" s="63">
        <v>4860</v>
      </c>
      <c r="T11" s="63">
        <v>4716</v>
      </c>
    </row>
    <row r="12" spans="1:20" ht="12.75">
      <c r="A12" s="62" t="s">
        <v>30</v>
      </c>
      <c r="B12" s="132" t="s">
        <v>210</v>
      </c>
      <c r="C12" s="132" t="s">
        <v>210</v>
      </c>
      <c r="D12" s="132" t="s">
        <v>212</v>
      </c>
      <c r="E12" s="63">
        <v>40.994175679477074</v>
      </c>
      <c r="F12" s="63">
        <v>37.94280957887935</v>
      </c>
      <c r="G12" s="63">
        <v>75.05082884104975</v>
      </c>
      <c r="H12" s="63">
        <v>85.01018053212367</v>
      </c>
      <c r="I12" s="63">
        <v>102.93639589163118</v>
      </c>
      <c r="J12" s="63">
        <v>79.70082987064266</v>
      </c>
      <c r="K12" s="63">
        <v>135.65757261397428</v>
      </c>
      <c r="L12" s="63">
        <v>188.07073617920994</v>
      </c>
      <c r="M12" s="63">
        <v>196.80538309522592</v>
      </c>
      <c r="N12" s="63">
        <v>227.51896413420658</v>
      </c>
      <c r="O12" s="63">
        <v>277.81207556488454</v>
      </c>
      <c r="P12" s="63">
        <v>279.3775393475603</v>
      </c>
      <c r="Q12" s="63">
        <v>154.57326764144946</v>
      </c>
      <c r="R12" s="63">
        <v>170.6712356379762</v>
      </c>
      <c r="S12" s="63">
        <v>91.36110795777047</v>
      </c>
      <c r="T12" s="63">
        <v>376.4553738410728</v>
      </c>
    </row>
    <row r="13" spans="1:21" ht="12.75">
      <c r="A13" s="64" t="s">
        <v>8</v>
      </c>
      <c r="B13" s="132" t="s">
        <v>210</v>
      </c>
      <c r="C13" s="132" t="s">
        <v>212</v>
      </c>
      <c r="D13" s="132" t="s">
        <v>212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2" t="s">
        <v>251</v>
      </c>
    </row>
    <row r="14" spans="1:21" ht="12.75">
      <c r="A14" s="64" t="s">
        <v>9</v>
      </c>
      <c r="B14" s="132" t="s">
        <v>210</v>
      </c>
      <c r="C14" s="132" t="s">
        <v>210</v>
      </c>
      <c r="D14" s="132" t="s">
        <v>210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2" t="s">
        <v>251</v>
      </c>
    </row>
    <row r="15" spans="1:21" ht="12.75">
      <c r="A15" s="64" t="s">
        <v>10</v>
      </c>
      <c r="B15" s="132" t="s">
        <v>210</v>
      </c>
      <c r="C15" s="132" t="s">
        <v>210</v>
      </c>
      <c r="D15" s="132" t="s">
        <v>210</v>
      </c>
      <c r="E15" s="49"/>
      <c r="F15" s="49"/>
      <c r="G15" s="49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49"/>
      <c r="S15" s="49"/>
      <c r="T15" s="49"/>
      <c r="U15" s="62" t="s">
        <v>251</v>
      </c>
    </row>
    <row r="16" spans="1:21" ht="12.75">
      <c r="A16" s="64" t="s">
        <v>11</v>
      </c>
      <c r="B16" s="132" t="s">
        <v>210</v>
      </c>
      <c r="C16" s="132" t="s">
        <v>210</v>
      </c>
      <c r="D16" s="132" t="s">
        <v>212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2" t="s">
        <v>251</v>
      </c>
    </row>
    <row r="17" spans="1:21" ht="12.75">
      <c r="A17" s="64" t="s">
        <v>12</v>
      </c>
      <c r="B17" s="132" t="s">
        <v>210</v>
      </c>
      <c r="C17" s="132" t="s">
        <v>212</v>
      </c>
      <c r="D17" s="132" t="s">
        <v>212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2" t="s">
        <v>258</v>
      </c>
    </row>
    <row r="18" spans="1:20" ht="12.75">
      <c r="A18" s="64" t="s">
        <v>13</v>
      </c>
      <c r="B18" s="132" t="s">
        <v>210</v>
      </c>
      <c r="C18" s="132" t="s">
        <v>210</v>
      </c>
      <c r="D18" s="132" t="s">
        <v>212</v>
      </c>
      <c r="E18" s="63">
        <v>0</v>
      </c>
      <c r="F18" s="63">
        <v>0.766687261465401</v>
      </c>
      <c r="G18" s="63">
        <v>1.9125469822407575</v>
      </c>
      <c r="H18" s="63">
        <v>4.434242435113743</v>
      </c>
      <c r="I18" s="63">
        <v>17.160892224635212</v>
      </c>
      <c r="J18" s="63">
        <v>22.30746337753381</v>
      </c>
      <c r="K18" s="63">
        <v>29.014109005278335</v>
      </c>
      <c r="L18" s="63">
        <v>19.57740203090922</v>
      </c>
      <c r="M18" s="63">
        <v>17.69863606841308</v>
      </c>
      <c r="N18" s="63">
        <v>24.565223459788402</v>
      </c>
      <c r="O18" s="63">
        <v>57.52442620107533</v>
      </c>
      <c r="P18" s="63">
        <v>85.44037999246966</v>
      </c>
      <c r="Q18" s="63">
        <v>70.37562628515161</v>
      </c>
      <c r="R18" s="63">
        <v>68.06070435588508</v>
      </c>
      <c r="S18" s="63">
        <v>50.393883225208526</v>
      </c>
      <c r="T18" s="63">
        <v>75.30120481927712</v>
      </c>
    </row>
    <row r="19" spans="1:21" ht="12.75">
      <c r="A19" s="64" t="s">
        <v>121</v>
      </c>
      <c r="B19" s="132" t="s">
        <v>210</v>
      </c>
      <c r="C19" s="132" t="s">
        <v>210</v>
      </c>
      <c r="D19" s="132" t="s">
        <v>210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62" t="s">
        <v>231</v>
      </c>
    </row>
    <row r="20" spans="1:21" ht="12.75">
      <c r="A20" s="64" t="s">
        <v>14</v>
      </c>
      <c r="B20" s="132" t="s">
        <v>210</v>
      </c>
      <c r="C20" s="132" t="s">
        <v>210</v>
      </c>
      <c r="D20" s="132" t="s">
        <v>212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2" t="s">
        <v>257</v>
      </c>
    </row>
    <row r="21" spans="1:20" ht="12.75">
      <c r="A21" s="64" t="s">
        <v>31</v>
      </c>
      <c r="B21" s="132" t="s">
        <v>210</v>
      </c>
      <c r="C21" s="132" t="s">
        <v>212</v>
      </c>
      <c r="D21" s="132" t="s">
        <v>212</v>
      </c>
      <c r="E21" s="63">
        <v>124.5994351989674</v>
      </c>
      <c r="F21" s="63">
        <v>125.15734926361748</v>
      </c>
      <c r="G21" s="63">
        <v>162.52298984681104</v>
      </c>
      <c r="H21" s="63">
        <v>323.6882599643967</v>
      </c>
      <c r="I21" s="63">
        <v>488.61782765759904</v>
      </c>
      <c r="J21" s="63">
        <v>389.468997743998</v>
      </c>
      <c r="K21" s="63">
        <v>343.1931990217771</v>
      </c>
      <c r="L21" s="63">
        <v>197.22275702733924</v>
      </c>
      <c r="M21" s="63">
        <v>362.82761434987526</v>
      </c>
      <c r="N21" s="63">
        <v>199.1700213707072</v>
      </c>
      <c r="O21" s="63">
        <v>189.5160216285326</v>
      </c>
      <c r="P21" s="63">
        <v>200.16743093473943</v>
      </c>
      <c r="Q21" s="63">
        <v>221.99123027109692</v>
      </c>
      <c r="R21" s="63">
        <v>193.3673134342956</v>
      </c>
      <c r="S21" s="63">
        <v>258.0820391370444</v>
      </c>
      <c r="T21" s="66">
        <v>283.32246256464737</v>
      </c>
    </row>
    <row r="22" spans="1:21" ht="12.75">
      <c r="A22" s="64" t="s">
        <v>15</v>
      </c>
      <c r="B22" s="132" t="s">
        <v>210</v>
      </c>
      <c r="C22" s="132" t="s">
        <v>210</v>
      </c>
      <c r="D22" s="132" t="s">
        <v>212</v>
      </c>
      <c r="E22" s="63"/>
      <c r="F22" s="63"/>
      <c r="G22" s="63"/>
      <c r="H22" s="63"/>
      <c r="I22" s="67"/>
      <c r="J22" s="67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2" t="s">
        <v>251</v>
      </c>
    </row>
    <row r="23" spans="1:20" ht="12.75">
      <c r="A23" s="64" t="s">
        <v>16</v>
      </c>
      <c r="B23" s="132" t="s">
        <v>210</v>
      </c>
      <c r="C23" s="132" t="s">
        <v>210</v>
      </c>
      <c r="D23" s="132" t="s">
        <v>210</v>
      </c>
      <c r="E23" s="63">
        <v>114</v>
      </c>
      <c r="F23" s="63">
        <v>126</v>
      </c>
      <c r="G23" s="63">
        <v>156</v>
      </c>
      <c r="H23" s="63">
        <v>196</v>
      </c>
      <c r="I23" s="63">
        <v>260</v>
      </c>
      <c r="J23" s="63">
        <v>476</v>
      </c>
      <c r="K23" s="63">
        <v>536</v>
      </c>
      <c r="L23" s="63">
        <v>342</v>
      </c>
      <c r="M23" s="63">
        <v>401</v>
      </c>
      <c r="N23" s="63">
        <v>418</v>
      </c>
      <c r="O23" s="63">
        <v>523</v>
      </c>
      <c r="P23" s="63">
        <v>704.245768</v>
      </c>
      <c r="Q23" s="63">
        <v>484</v>
      </c>
      <c r="R23" s="63">
        <v>415</v>
      </c>
      <c r="S23" s="63">
        <v>307</v>
      </c>
      <c r="T23" s="63">
        <v>329</v>
      </c>
    </row>
    <row r="24" spans="1:21" ht="12.75">
      <c r="A24" s="64" t="s">
        <v>17</v>
      </c>
      <c r="B24" s="132" t="s">
        <v>210</v>
      </c>
      <c r="C24" s="132" t="s">
        <v>210</v>
      </c>
      <c r="D24" s="132" t="s">
        <v>212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2" t="s">
        <v>251</v>
      </c>
    </row>
    <row r="25" spans="1:20" ht="12.75">
      <c r="A25" s="62" t="s">
        <v>18</v>
      </c>
      <c r="B25" s="132" t="s">
        <v>210</v>
      </c>
      <c r="C25" s="132" t="s">
        <v>210</v>
      </c>
      <c r="D25" s="132" t="s">
        <v>212</v>
      </c>
      <c r="E25" s="63">
        <v>24.4923220386493</v>
      </c>
      <c r="F25" s="63">
        <v>32.746165859897324</v>
      </c>
      <c r="G25" s="63">
        <v>28.6136136581619</v>
      </c>
      <c r="H25" s="63">
        <v>59.15363219768995</v>
      </c>
      <c r="I25" s="63">
        <v>107.44317612510888</v>
      </c>
      <c r="J25" s="63">
        <v>121.40246478226531</v>
      </c>
      <c r="K25" s="63">
        <v>63.78189727118687</v>
      </c>
      <c r="L25" s="63">
        <v>37.033687542392045</v>
      </c>
      <c r="M25" s="63">
        <v>53.28388338575654</v>
      </c>
      <c r="N25" s="63">
        <v>170.11547344110855</v>
      </c>
      <c r="O25" s="63">
        <v>240.52560078699582</v>
      </c>
      <c r="P25" s="63">
        <v>90.65053387644919</v>
      </c>
      <c r="Q25" s="63">
        <v>90.67512867922643</v>
      </c>
      <c r="R25" s="63">
        <v>159.91408582928022</v>
      </c>
      <c r="S25" s="63">
        <v>225.47362940060813</v>
      </c>
      <c r="T25" s="63">
        <v>287.31437925672134</v>
      </c>
    </row>
    <row r="26" spans="1:21" ht="12.75">
      <c r="A26" s="62" t="s">
        <v>19</v>
      </c>
      <c r="B26" s="132" t="s">
        <v>210</v>
      </c>
      <c r="C26" s="132" t="s">
        <v>210</v>
      </c>
      <c r="D26" s="132" t="s">
        <v>212</v>
      </c>
      <c r="E26" s="49"/>
      <c r="F26" s="49"/>
      <c r="G26" s="49"/>
      <c r="H26" s="49"/>
      <c r="I26" s="49"/>
      <c r="J26" s="49"/>
      <c r="K26" s="49"/>
      <c r="L26" s="49"/>
      <c r="M26" s="63"/>
      <c r="N26" s="63"/>
      <c r="O26" s="63"/>
      <c r="P26" s="63"/>
      <c r="Q26" s="63"/>
      <c r="R26" s="63"/>
      <c r="S26" s="63"/>
      <c r="T26" s="63"/>
      <c r="U26" s="62" t="s">
        <v>251</v>
      </c>
    </row>
    <row r="27" spans="1:20" ht="12.75">
      <c r="A27" s="64" t="s">
        <v>20</v>
      </c>
      <c r="B27" s="132" t="s">
        <v>210</v>
      </c>
      <c r="C27" s="132" t="s">
        <v>210</v>
      </c>
      <c r="D27" s="132" t="s">
        <v>210</v>
      </c>
      <c r="E27" s="63">
        <v>973.3391030495354</v>
      </c>
      <c r="F27" s="63">
        <v>831.7406512567163</v>
      </c>
      <c r="G27" s="63">
        <v>771.5913598499874</v>
      </c>
      <c r="H27" s="63">
        <v>648.0292813097255</v>
      </c>
      <c r="I27" s="63">
        <v>644.8198766723162</v>
      </c>
      <c r="J27" s="63">
        <v>596.5946654165615</v>
      </c>
      <c r="K27" s="63">
        <v>856.1657831788732</v>
      </c>
      <c r="L27" s="63">
        <v>1279.1100212758286</v>
      </c>
      <c r="M27" s="63">
        <v>919.54</v>
      </c>
      <c r="N27" s="63">
        <v>1105.6999999999998</v>
      </c>
      <c r="O27" s="63">
        <v>1199.26</v>
      </c>
      <c r="P27" s="63">
        <v>1633.31</v>
      </c>
      <c r="Q27" s="63">
        <v>1899.9699999999998</v>
      </c>
      <c r="R27" s="63">
        <v>1925.55</v>
      </c>
      <c r="S27" s="63">
        <v>2253</v>
      </c>
      <c r="T27" s="63">
        <v>2368</v>
      </c>
    </row>
    <row r="28" spans="1:21" ht="12.75">
      <c r="A28" s="62" t="s">
        <v>21</v>
      </c>
      <c r="B28" s="132" t="s">
        <v>210</v>
      </c>
      <c r="C28" s="132" t="s">
        <v>210</v>
      </c>
      <c r="D28" s="132" t="s">
        <v>210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2" t="s">
        <v>251</v>
      </c>
    </row>
    <row r="29" spans="1:20" ht="12.75">
      <c r="A29" s="62" t="s">
        <v>22</v>
      </c>
      <c r="B29" s="132" t="s">
        <v>210</v>
      </c>
      <c r="C29" s="132" t="s">
        <v>212</v>
      </c>
      <c r="D29" s="132" t="s">
        <v>212</v>
      </c>
      <c r="E29" s="63">
        <v>815.289147082123</v>
      </c>
      <c r="F29" s="63">
        <v>991.2206173888418</v>
      </c>
      <c r="G29" s="63">
        <v>1055.9558173867276</v>
      </c>
      <c r="H29" s="63">
        <v>1079.0948024894226</v>
      </c>
      <c r="I29" s="63">
        <v>1170.429868168733</v>
      </c>
      <c r="J29" s="63">
        <v>1231.7517848037455</v>
      </c>
      <c r="K29" s="63">
        <v>1290.3822608343387</v>
      </c>
      <c r="L29" s="63">
        <v>1342.8732495255495</v>
      </c>
      <c r="M29" s="63">
        <v>1463.430322731624</v>
      </c>
      <c r="N29" s="63">
        <v>1643.8265475008277</v>
      </c>
      <c r="O29" s="63">
        <v>2012.2699386503066</v>
      </c>
      <c r="P29" s="63">
        <v>2003.6813042334998</v>
      </c>
      <c r="Q29" s="63">
        <v>2116.206762534007</v>
      </c>
      <c r="R29" s="63">
        <v>2191.1875713315703</v>
      </c>
      <c r="S29" s="66">
        <v>2385.5459089086808</v>
      </c>
      <c r="T29" s="66">
        <v>2618.85229879995</v>
      </c>
    </row>
    <row r="30" spans="1:21" ht="12.75">
      <c r="A30" s="62" t="s">
        <v>32</v>
      </c>
      <c r="B30" s="132" t="s">
        <v>210</v>
      </c>
      <c r="C30" s="132" t="s">
        <v>212</v>
      </c>
      <c r="D30" s="132" t="s">
        <v>212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2" t="s">
        <v>251</v>
      </c>
    </row>
    <row r="31" spans="1:20" ht="12.75">
      <c r="A31" s="62" t="s">
        <v>122</v>
      </c>
      <c r="B31" s="132" t="s">
        <v>210</v>
      </c>
      <c r="C31" s="132" t="s">
        <v>210</v>
      </c>
      <c r="D31" s="132" t="s">
        <v>210</v>
      </c>
      <c r="E31" s="63">
        <v>3173.591811834881</v>
      </c>
      <c r="F31" s="63">
        <v>2346.1899413837136</v>
      </c>
      <c r="G31" s="63">
        <v>2575.067558647126</v>
      </c>
      <c r="H31" s="63">
        <v>2414.366033186305</v>
      </c>
      <c r="I31" s="63">
        <v>2734.0936838184857</v>
      </c>
      <c r="J31" s="63">
        <v>3362.6845273507365</v>
      </c>
      <c r="K31" s="63">
        <v>3459.374591129138</v>
      </c>
      <c r="L31" s="63">
        <v>4819.80751130947</v>
      </c>
      <c r="M31" s="63">
        <v>4577.672770230361</v>
      </c>
      <c r="N31" s="63">
        <v>5872.610031035425</v>
      </c>
      <c r="O31" s="63">
        <v>6744.271106658397</v>
      </c>
      <c r="P31" s="63">
        <v>7494.327952716079</v>
      </c>
      <c r="Q31" s="63">
        <v>6294.757315887189</v>
      </c>
      <c r="R31" s="63">
        <v>6517.542550517007</v>
      </c>
      <c r="S31" s="63">
        <v>7376.259956907688</v>
      </c>
      <c r="T31" s="66">
        <v>8097.658180693261</v>
      </c>
    </row>
    <row r="32" spans="1:20" ht="12.75">
      <c r="A32" s="62"/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6"/>
    </row>
    <row r="33" spans="1:20" ht="12.75">
      <c r="A33" s="57" t="s">
        <v>134</v>
      </c>
      <c r="B33" s="57"/>
      <c r="C33" s="57"/>
      <c r="D33" s="57"/>
      <c r="E33" s="59">
        <f>E34+E35</f>
        <v>14213.578333874308</v>
      </c>
      <c r="F33" s="59">
        <f aca="true" t="shared" si="0" ref="F33:T33">F34+F35</f>
        <v>13456.12982222368</v>
      </c>
      <c r="G33" s="59">
        <f t="shared" si="0"/>
        <v>13677.748447348165</v>
      </c>
      <c r="H33" s="59">
        <f t="shared" si="0"/>
        <v>13509.951849895544</v>
      </c>
      <c r="I33" s="59">
        <f t="shared" si="0"/>
        <v>14006.788876951918</v>
      </c>
      <c r="J33" s="59">
        <f t="shared" si="0"/>
        <v>14515.342008432712</v>
      </c>
      <c r="K33" s="59">
        <f t="shared" si="0"/>
        <v>14750.630797516382</v>
      </c>
      <c r="L33" s="59">
        <f t="shared" si="0"/>
        <v>19243.029812254543</v>
      </c>
      <c r="M33" s="59">
        <f t="shared" si="0"/>
        <v>16812.14765081095</v>
      </c>
      <c r="N33" s="59">
        <f t="shared" si="0"/>
        <v>17886.071361363123</v>
      </c>
      <c r="O33" s="59">
        <f t="shared" si="0"/>
        <v>21895.175723666405</v>
      </c>
      <c r="P33" s="59">
        <f t="shared" si="0"/>
        <v>23338.720719041805</v>
      </c>
      <c r="Q33" s="59">
        <f t="shared" si="0"/>
        <v>21517.23988853207</v>
      </c>
      <c r="R33" s="59">
        <f t="shared" si="0"/>
        <v>20015.86962656243</v>
      </c>
      <c r="S33" s="59">
        <f t="shared" si="0"/>
        <v>21765.7175428292</v>
      </c>
      <c r="T33" s="59">
        <f t="shared" si="0"/>
        <v>23261.502391480153</v>
      </c>
    </row>
    <row r="34" spans="1:20" ht="12.75">
      <c r="A34" s="57" t="s">
        <v>132</v>
      </c>
      <c r="B34" s="57"/>
      <c r="C34" s="57"/>
      <c r="D34" s="57"/>
      <c r="E34" s="59">
        <f>E5+E6+E8+E12+E16+E18+E20+E22+E24+E25+E26</f>
        <v>140.40611817240494</v>
      </c>
      <c r="F34" s="59">
        <f aca="true" t="shared" si="1" ref="F34:T34">F5+F6+F8+F12+F16+F18+F20+F22+F24+F25+F26</f>
        <v>149.23299801592955</v>
      </c>
      <c r="G34" s="59">
        <f t="shared" si="1"/>
        <v>201.53165738787817</v>
      </c>
      <c r="H34" s="59">
        <f t="shared" si="1"/>
        <v>265.9973015414336</v>
      </c>
      <c r="I34" s="59">
        <f t="shared" si="1"/>
        <v>389.4872316879917</v>
      </c>
      <c r="J34" s="59">
        <f t="shared" si="1"/>
        <v>504.3526414601681</v>
      </c>
      <c r="K34" s="59">
        <f t="shared" si="1"/>
        <v>545.5020132033075</v>
      </c>
      <c r="L34" s="59">
        <f t="shared" si="1"/>
        <v>538.9568348860519</v>
      </c>
      <c r="M34" s="59">
        <f t="shared" si="1"/>
        <v>658.5029539881501</v>
      </c>
      <c r="N34" s="59">
        <f t="shared" si="1"/>
        <v>830.6871485802687</v>
      </c>
      <c r="O34" s="59">
        <f t="shared" si="1"/>
        <v>1067.6691333931794</v>
      </c>
      <c r="P34" s="59">
        <f t="shared" si="1"/>
        <v>887.5505953219688</v>
      </c>
      <c r="Q34" s="59">
        <f t="shared" si="1"/>
        <v>749.477724031324</v>
      </c>
      <c r="R34" s="59">
        <f t="shared" si="1"/>
        <v>903.781507272337</v>
      </c>
      <c r="S34" s="59">
        <f t="shared" si="1"/>
        <v>854.1438399302749</v>
      </c>
      <c r="T34" s="59">
        <f t="shared" si="1"/>
        <v>1378.9269198466245</v>
      </c>
    </row>
    <row r="35" spans="1:20" ht="12.75">
      <c r="A35" s="57" t="s">
        <v>28</v>
      </c>
      <c r="B35" s="57"/>
      <c r="C35" s="57"/>
      <c r="D35" s="57"/>
      <c r="E35" s="59">
        <f>E4+E7+E9+E10+E11+E14+E15+E19+E23+E27+E28+E31</f>
        <v>14073.172215701903</v>
      </c>
      <c r="F35" s="59">
        <f aca="true" t="shared" si="2" ref="F35:T35">F4+F7+F9+F10+F11+F14+F15+F19+F23+F27+F28+F31</f>
        <v>13306.89682420775</v>
      </c>
      <c r="G35" s="59">
        <f t="shared" si="2"/>
        <v>13476.216789960286</v>
      </c>
      <c r="H35" s="59">
        <f t="shared" si="2"/>
        <v>13243.95454835411</v>
      </c>
      <c r="I35" s="59">
        <f t="shared" si="2"/>
        <v>13617.301645263926</v>
      </c>
      <c r="J35" s="59">
        <f t="shared" si="2"/>
        <v>14010.989366972544</v>
      </c>
      <c r="K35" s="59">
        <f t="shared" si="2"/>
        <v>14205.128784313074</v>
      </c>
      <c r="L35" s="59">
        <f t="shared" si="2"/>
        <v>18704.07297736849</v>
      </c>
      <c r="M35" s="59">
        <f t="shared" si="2"/>
        <v>16153.644696822801</v>
      </c>
      <c r="N35" s="59">
        <f t="shared" si="2"/>
        <v>17055.384212782854</v>
      </c>
      <c r="O35" s="59">
        <f t="shared" si="2"/>
        <v>20827.506590273228</v>
      </c>
      <c r="P35" s="59">
        <f t="shared" si="2"/>
        <v>22451.170123719836</v>
      </c>
      <c r="Q35" s="59">
        <f t="shared" si="2"/>
        <v>20767.762164500746</v>
      </c>
      <c r="R35" s="59">
        <f t="shared" si="2"/>
        <v>19112.088119290092</v>
      </c>
      <c r="S35" s="59">
        <f t="shared" si="2"/>
        <v>20911.573702898924</v>
      </c>
      <c r="T35" s="59">
        <f t="shared" si="2"/>
        <v>21882.57547163353</v>
      </c>
    </row>
    <row r="36" spans="1:20" ht="12.75">
      <c r="A36" s="57" t="s">
        <v>34</v>
      </c>
      <c r="B36" s="57"/>
      <c r="C36" s="57"/>
      <c r="D36" s="57"/>
      <c r="E36" s="59">
        <f>E33+E13+E17+E21+E29+E30</f>
        <v>15153.466916155397</v>
      </c>
      <c r="F36" s="59">
        <f aca="true" t="shared" si="3" ref="F36:T36">F33+F13+F17+F21+F29+F30</f>
        <v>14572.50778887614</v>
      </c>
      <c r="G36" s="59">
        <f t="shared" si="3"/>
        <v>14896.227254581705</v>
      </c>
      <c r="H36" s="59">
        <f t="shared" si="3"/>
        <v>14912.734912349362</v>
      </c>
      <c r="I36" s="59">
        <f t="shared" si="3"/>
        <v>15665.83657277825</v>
      </c>
      <c r="J36" s="59">
        <f t="shared" si="3"/>
        <v>16136.562790980455</v>
      </c>
      <c r="K36" s="59">
        <f t="shared" si="3"/>
        <v>16384.206257372498</v>
      </c>
      <c r="L36" s="59">
        <f t="shared" si="3"/>
        <v>20783.12581880743</v>
      </c>
      <c r="M36" s="59">
        <f t="shared" si="3"/>
        <v>18638.405587892452</v>
      </c>
      <c r="N36" s="59">
        <f t="shared" si="3"/>
        <v>19729.067930234658</v>
      </c>
      <c r="O36" s="59">
        <f>O33+O13+O17+O21+O29+O30</f>
        <v>24096.961683945246</v>
      </c>
      <c r="P36" s="59">
        <f t="shared" si="3"/>
        <v>25542.569454210046</v>
      </c>
      <c r="Q36" s="59">
        <f t="shared" si="3"/>
        <v>23855.437881337173</v>
      </c>
      <c r="R36" s="59">
        <f t="shared" si="3"/>
        <v>22400.4245113283</v>
      </c>
      <c r="S36" s="59">
        <f t="shared" si="3"/>
        <v>24409.345490874923</v>
      </c>
      <c r="T36" s="59">
        <f t="shared" si="3"/>
        <v>26163.67715284475</v>
      </c>
    </row>
    <row r="37" spans="1:20" ht="12.75">
      <c r="A37" s="75" t="s">
        <v>247</v>
      </c>
      <c r="B37" s="57"/>
      <c r="C37" s="57"/>
      <c r="D37" s="57"/>
      <c r="E37" s="76">
        <f>COUNT(E4:E31)</f>
        <v>15</v>
      </c>
      <c r="F37" s="76">
        <f aca="true" t="shared" si="4" ref="F37:T37">COUNT(F4:F31)</f>
        <v>15</v>
      </c>
      <c r="G37" s="76">
        <f t="shared" si="4"/>
        <v>15</v>
      </c>
      <c r="H37" s="76">
        <f t="shared" si="4"/>
        <v>15</v>
      </c>
      <c r="I37" s="76">
        <f t="shared" si="4"/>
        <v>15</v>
      </c>
      <c r="J37" s="76">
        <f t="shared" si="4"/>
        <v>15</v>
      </c>
      <c r="K37" s="76">
        <f t="shared" si="4"/>
        <v>15</v>
      </c>
      <c r="L37" s="76">
        <f t="shared" si="4"/>
        <v>15</v>
      </c>
      <c r="M37" s="76">
        <f t="shared" si="4"/>
        <v>15</v>
      </c>
      <c r="N37" s="76">
        <f t="shared" si="4"/>
        <v>15</v>
      </c>
      <c r="O37" s="76">
        <f t="shared" si="4"/>
        <v>15</v>
      </c>
      <c r="P37" s="76">
        <f t="shared" si="4"/>
        <v>15</v>
      </c>
      <c r="Q37" s="76">
        <f t="shared" si="4"/>
        <v>15</v>
      </c>
      <c r="R37" s="76">
        <f t="shared" si="4"/>
        <v>15</v>
      </c>
      <c r="S37" s="76">
        <f t="shared" si="4"/>
        <v>15</v>
      </c>
      <c r="T37" s="76">
        <f t="shared" si="4"/>
        <v>15</v>
      </c>
    </row>
    <row r="38" spans="1:20" ht="12.75">
      <c r="A38" s="57"/>
      <c r="B38" s="57"/>
      <c r="C38" s="57"/>
      <c r="D38" s="57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ht="12.75">
      <c r="A39" s="9" t="s">
        <v>217</v>
      </c>
    </row>
    <row r="40" spans="1:3" ht="12.75">
      <c r="A40" s="42" t="s">
        <v>184</v>
      </c>
      <c r="B40" s="42"/>
      <c r="C40" s="12"/>
    </row>
    <row r="41" spans="1:3" ht="12.75">
      <c r="A41" s="129" t="s">
        <v>222</v>
      </c>
      <c r="B41" s="129"/>
      <c r="C41" s="129"/>
    </row>
    <row r="43" spans="1:20" ht="12.75">
      <c r="A43" s="62" t="s">
        <v>224</v>
      </c>
      <c r="B43" s="62" t="s">
        <v>34</v>
      </c>
      <c r="C43" s="62"/>
      <c r="D43" s="62"/>
      <c r="E43" s="135">
        <f>SUMIF($B$4:$B$31,"Y",E4:E31)/E36</f>
        <v>1.0000000000000002</v>
      </c>
      <c r="F43" s="135">
        <f aca="true" t="shared" si="5" ref="F43:K43">SUMIF($B$4:$B$31,"Y",F4:F31)/F36</f>
        <v>0.9999999999999998</v>
      </c>
      <c r="G43" s="135">
        <f t="shared" si="5"/>
        <v>1</v>
      </c>
      <c r="H43" s="135">
        <f t="shared" si="5"/>
        <v>0.9999999999999999</v>
      </c>
      <c r="I43" s="135">
        <f t="shared" si="5"/>
        <v>1.0000000000000002</v>
      </c>
      <c r="J43" s="135">
        <f t="shared" si="5"/>
        <v>1.0000000000000002</v>
      </c>
      <c r="K43" s="135">
        <f t="shared" si="5"/>
        <v>0.9999999999999998</v>
      </c>
      <c r="L43" s="135">
        <f aca="true" t="shared" si="6" ref="L43:T43">SUMIF($B$4:$B$31,"Y",L4:L31)/L36</f>
        <v>1</v>
      </c>
      <c r="M43" s="135">
        <f t="shared" si="6"/>
        <v>0.9999999999999998</v>
      </c>
      <c r="N43" s="135">
        <f t="shared" si="6"/>
        <v>0.9999999999999998</v>
      </c>
      <c r="O43" s="135">
        <f t="shared" si="6"/>
        <v>1.0000000000000002</v>
      </c>
      <c r="P43" s="135">
        <f t="shared" si="6"/>
        <v>0.9999999999999997</v>
      </c>
      <c r="Q43" s="135">
        <f t="shared" si="6"/>
        <v>1</v>
      </c>
      <c r="R43" s="135">
        <f t="shared" si="6"/>
        <v>0.9999999999999997</v>
      </c>
      <c r="S43" s="135">
        <f t="shared" si="6"/>
        <v>1.0000000000000002</v>
      </c>
      <c r="T43" s="135">
        <f t="shared" si="6"/>
        <v>1</v>
      </c>
    </row>
    <row r="44" spans="1:20" ht="12.75">
      <c r="A44" s="62"/>
      <c r="B44" s="62" t="s">
        <v>134</v>
      </c>
      <c r="C44" s="62"/>
      <c r="D44" s="62"/>
      <c r="E44" s="135">
        <f>SUMIF($C$4:$C$31,"Y",E4:E31)/E33</f>
        <v>1.0000000000000002</v>
      </c>
      <c r="F44" s="135">
        <f aca="true" t="shared" si="7" ref="F44:K44">SUMIF($C$4:$C$31,"Y",F4:F31)/F33</f>
        <v>0.9999999999999998</v>
      </c>
      <c r="G44" s="135">
        <f t="shared" si="7"/>
        <v>0.9999999999999999</v>
      </c>
      <c r="H44" s="135">
        <f t="shared" si="7"/>
        <v>0.9999999999999999</v>
      </c>
      <c r="I44" s="135">
        <f t="shared" si="7"/>
        <v>1.0000000000000002</v>
      </c>
      <c r="J44" s="135">
        <f t="shared" si="7"/>
        <v>1.0000000000000002</v>
      </c>
      <c r="K44" s="135">
        <f t="shared" si="7"/>
        <v>0.9999999999999999</v>
      </c>
      <c r="L44" s="135">
        <f aca="true" t="shared" si="8" ref="L44:T44">SUMIF($C$4:$C$31,"Y",L4:L31)/L33</f>
        <v>1</v>
      </c>
      <c r="M44" s="135">
        <f t="shared" si="8"/>
        <v>1</v>
      </c>
      <c r="N44" s="135">
        <f t="shared" si="8"/>
        <v>1</v>
      </c>
      <c r="O44" s="135">
        <f t="shared" si="8"/>
        <v>1.0000000000000002</v>
      </c>
      <c r="P44" s="135">
        <f t="shared" si="8"/>
        <v>1</v>
      </c>
      <c r="Q44" s="135">
        <f t="shared" si="8"/>
        <v>1</v>
      </c>
      <c r="R44" s="135">
        <f t="shared" si="8"/>
        <v>0.9999999999999998</v>
      </c>
      <c r="S44" s="135">
        <f t="shared" si="8"/>
        <v>1</v>
      </c>
      <c r="T44" s="135">
        <f t="shared" si="8"/>
        <v>1.0000000000000002</v>
      </c>
    </row>
    <row r="45" spans="1:20" ht="12.75">
      <c r="A45" s="62"/>
      <c r="B45" s="62" t="s">
        <v>28</v>
      </c>
      <c r="C45" s="62"/>
      <c r="D45" s="62"/>
      <c r="E45" s="135">
        <f>SUMIF($D$4:$D$31,"Y",E4:E31)/E35</f>
        <v>1</v>
      </c>
      <c r="F45" s="135">
        <f aca="true" t="shared" si="9" ref="F45:K45">SUMIF($D$4:$D$31,"Y",F4:F31)/F35</f>
        <v>1</v>
      </c>
      <c r="G45" s="135">
        <f t="shared" si="9"/>
        <v>1</v>
      </c>
      <c r="H45" s="135">
        <f t="shared" si="9"/>
        <v>1</v>
      </c>
      <c r="I45" s="135">
        <f t="shared" si="9"/>
        <v>1</v>
      </c>
      <c r="J45" s="135">
        <f t="shared" si="9"/>
        <v>1</v>
      </c>
      <c r="K45" s="135">
        <f t="shared" si="9"/>
        <v>1</v>
      </c>
      <c r="L45" s="135">
        <f aca="true" t="shared" si="10" ref="L45:T45">SUMIF($D$4:$D$31,"Y",L4:L31)/L35</f>
        <v>1</v>
      </c>
      <c r="M45" s="135">
        <f t="shared" si="10"/>
        <v>1</v>
      </c>
      <c r="N45" s="135">
        <f t="shared" si="10"/>
        <v>1</v>
      </c>
      <c r="O45" s="135">
        <f t="shared" si="10"/>
        <v>1</v>
      </c>
      <c r="P45" s="135">
        <f t="shared" si="10"/>
        <v>1</v>
      </c>
      <c r="Q45" s="135">
        <f t="shared" si="10"/>
        <v>1</v>
      </c>
      <c r="R45" s="135">
        <f t="shared" si="10"/>
        <v>1</v>
      </c>
      <c r="S45" s="135">
        <f t="shared" si="10"/>
        <v>1</v>
      </c>
      <c r="T45" s="135">
        <f t="shared" si="10"/>
        <v>1</v>
      </c>
    </row>
    <row r="46" spans="1:20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8" spans="1:2" ht="12.75">
      <c r="A48" s="64" t="s">
        <v>230</v>
      </c>
      <c r="B48" s="64"/>
    </row>
    <row r="49" spans="1:20" ht="12.75">
      <c r="A49" s="141"/>
      <c r="B49" s="142"/>
      <c r="C49" s="147"/>
      <c r="D49" s="147"/>
      <c r="E49" s="143">
        <f>E3</f>
        <v>1992</v>
      </c>
      <c r="F49" s="143">
        <f>E49+1</f>
        <v>1993</v>
      </c>
      <c r="G49" s="143">
        <f aca="true" t="shared" si="11" ref="G49:T49">F49+1</f>
        <v>1994</v>
      </c>
      <c r="H49" s="143">
        <f t="shared" si="11"/>
        <v>1995</v>
      </c>
      <c r="I49" s="143">
        <f t="shared" si="11"/>
        <v>1996</v>
      </c>
      <c r="J49" s="143">
        <f t="shared" si="11"/>
        <v>1997</v>
      </c>
      <c r="K49" s="143">
        <f t="shared" si="11"/>
        <v>1998</v>
      </c>
      <c r="L49" s="143">
        <f t="shared" si="11"/>
        <v>1999</v>
      </c>
      <c r="M49" s="143">
        <f t="shared" si="11"/>
        <v>2000</v>
      </c>
      <c r="N49" s="143">
        <f t="shared" si="11"/>
        <v>2001</v>
      </c>
      <c r="O49" s="143">
        <f t="shared" si="11"/>
        <v>2002</v>
      </c>
      <c r="P49" s="143">
        <f t="shared" si="11"/>
        <v>2003</v>
      </c>
      <c r="Q49" s="143">
        <f t="shared" si="11"/>
        <v>2004</v>
      </c>
      <c r="R49" s="143">
        <f t="shared" si="11"/>
        <v>2005</v>
      </c>
      <c r="S49" s="143">
        <f t="shared" si="11"/>
        <v>2006</v>
      </c>
      <c r="T49" s="143">
        <f t="shared" si="11"/>
        <v>2007</v>
      </c>
    </row>
    <row r="50" spans="1:20" ht="12.75">
      <c r="A50" s="141" t="s">
        <v>1</v>
      </c>
      <c r="B50" s="142"/>
      <c r="C50" s="147"/>
      <c r="D50" s="147"/>
      <c r="E50" s="148">
        <v>11.272220496894409</v>
      </c>
      <c r="F50" s="148">
        <v>22.961581342434584</v>
      </c>
      <c r="G50" s="148">
        <v>10.619874213836479</v>
      </c>
      <c r="H50" s="148">
        <v>2.0267387625594924</v>
      </c>
      <c r="I50" s="148">
        <v>3.1063958153471125</v>
      </c>
      <c r="J50" s="148">
        <v>13.892656935850653</v>
      </c>
      <c r="K50" s="148">
        <v>22.90015844560796</v>
      </c>
      <c r="L50" s="148">
        <v>21.632248201530807</v>
      </c>
      <c r="M50" s="148">
        <v>77.74061230961222</v>
      </c>
      <c r="N50" s="148">
        <v>77.50744276768299</v>
      </c>
      <c r="O50" s="148">
        <v>50.79006772009029</v>
      </c>
      <c r="P50" s="148">
        <v>26.16726526423807</v>
      </c>
      <c r="Q50" s="148">
        <v>31.196780083157318</v>
      </c>
      <c r="R50" s="148">
        <v>45.50497742646345</v>
      </c>
      <c r="S50" s="148">
        <v>39.36947485210882</v>
      </c>
      <c r="T50" s="148">
        <v>44.483075979138974</v>
      </c>
    </row>
    <row r="51" spans="1:20" ht="12.75">
      <c r="A51" s="141" t="s">
        <v>19</v>
      </c>
      <c r="B51" s="142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8">
        <v>7.06671556969755</v>
      </c>
      <c r="N51" s="148">
        <v>5.342907961918198</v>
      </c>
      <c r="O51" s="148">
        <v>2.6720841759727207</v>
      </c>
      <c r="P51" s="148">
        <v>3.4077146695934393</v>
      </c>
      <c r="Q51" s="148">
        <v>2.9867098716201648</v>
      </c>
      <c r="R51" s="148">
        <v>7.47421663840866</v>
      </c>
      <c r="S51" s="148">
        <v>8.347214054705136</v>
      </c>
      <c r="T51" s="148">
        <v>8.07642738</v>
      </c>
    </row>
    <row r="52" spans="1:20" ht="12.75">
      <c r="A52" s="145" t="s">
        <v>15</v>
      </c>
      <c r="B52" s="146"/>
      <c r="C52" s="147"/>
      <c r="D52" s="147"/>
      <c r="E52" s="148">
        <v>96.37776132523064</v>
      </c>
      <c r="F52" s="148">
        <v>140.4223035854809</v>
      </c>
      <c r="G52" s="148">
        <v>163.21243523316062</v>
      </c>
      <c r="H52" s="148">
        <v>247.5950165589024</v>
      </c>
      <c r="I52" s="66">
        <v>277.493660556269</v>
      </c>
      <c r="J52" s="66">
        <v>307.3923045536356</v>
      </c>
      <c r="K52" s="148">
        <v>337.29094855100215</v>
      </c>
      <c r="L52" s="148">
        <v>237.04753819152947</v>
      </c>
      <c r="M52" s="148">
        <v>194.5124938755512</v>
      </c>
      <c r="N52" s="148">
        <v>113.01435146101686</v>
      </c>
      <c r="O52" s="148">
        <v>107.84466220770467</v>
      </c>
      <c r="P52" s="148">
        <v>194.3358487135194</v>
      </c>
      <c r="Q52" s="148">
        <v>219.360254484404</v>
      </c>
      <c r="R52" s="148">
        <v>235.11587727367572</v>
      </c>
      <c r="S52" s="148">
        <v>353.2351232470097</v>
      </c>
      <c r="T52" s="148">
        <v>646.4141704532095</v>
      </c>
    </row>
    <row r="53" spans="1:20" ht="12.75">
      <c r="A53" s="145" t="s">
        <v>9</v>
      </c>
      <c r="B53" s="142"/>
      <c r="C53" s="147"/>
      <c r="D53" s="147"/>
      <c r="E53" s="148">
        <v>15.600000381469727</v>
      </c>
      <c r="F53" s="148">
        <v>25.399999618530273</v>
      </c>
      <c r="G53" s="148">
        <v>28.700000762939453</v>
      </c>
      <c r="H53" s="148">
        <v>29.299999237060547</v>
      </c>
      <c r="I53" s="148">
        <v>2</v>
      </c>
      <c r="J53" s="148">
        <v>9</v>
      </c>
      <c r="K53" s="148">
        <v>4</v>
      </c>
      <c r="L53" s="148">
        <v>5</v>
      </c>
      <c r="M53" s="148">
        <v>85</v>
      </c>
      <c r="N53" s="148">
        <v>141</v>
      </c>
      <c r="O53" s="148">
        <v>237</v>
      </c>
      <c r="P53" s="148">
        <v>247</v>
      </c>
      <c r="Q53" s="148">
        <v>184</v>
      </c>
      <c r="R53" s="148">
        <v>184</v>
      </c>
      <c r="S53" s="148">
        <v>172</v>
      </c>
      <c r="T53" s="148">
        <v>244</v>
      </c>
    </row>
    <row r="54" spans="1:20" ht="12.75">
      <c r="A54" s="145" t="s">
        <v>10</v>
      </c>
      <c r="B54" s="142"/>
      <c r="C54" s="147"/>
      <c r="D54" s="147"/>
      <c r="E54" s="149"/>
      <c r="F54" s="149"/>
      <c r="G54" s="149"/>
      <c r="H54" s="66">
        <v>2078.1399288322395</v>
      </c>
      <c r="I54" s="66">
        <v>2078.1399288322395</v>
      </c>
      <c r="J54" s="148">
        <v>2078.1399288322395</v>
      </c>
      <c r="K54" s="148">
        <v>2170.3533081646674</v>
      </c>
      <c r="L54" s="148">
        <v>3681.193371792157</v>
      </c>
      <c r="M54" s="148">
        <v>4548.685596533542</v>
      </c>
      <c r="N54" s="148">
        <v>4855.68</v>
      </c>
      <c r="O54" s="148">
        <v>5524.87</v>
      </c>
      <c r="P54" s="148">
        <v>7273.83</v>
      </c>
      <c r="Q54" s="148">
        <v>8614.87</v>
      </c>
      <c r="R54" s="149"/>
      <c r="S54" s="149"/>
      <c r="T54" s="149"/>
    </row>
    <row r="55" spans="1:20" ht="12.75">
      <c r="A55" s="145" t="s">
        <v>11</v>
      </c>
      <c r="B55" s="142"/>
      <c r="C55" s="147"/>
      <c r="D55" s="147"/>
      <c r="E55" s="148">
        <v>0</v>
      </c>
      <c r="F55" s="148">
        <v>2.557963709677419</v>
      </c>
      <c r="G55" s="148">
        <v>9.698795180722891</v>
      </c>
      <c r="H55" s="148">
        <v>7.25163161711385</v>
      </c>
      <c r="I55" s="148">
        <v>10.005717552887365</v>
      </c>
      <c r="J55" s="148">
        <v>21.231422505307854</v>
      </c>
      <c r="K55" s="148">
        <v>27.27272727272727</v>
      </c>
      <c r="L55" s="148">
        <v>25.6</v>
      </c>
      <c r="M55" s="148">
        <v>37.49999999999999</v>
      </c>
      <c r="N55" s="148">
        <v>30.357142857142854</v>
      </c>
      <c r="O55" s="148">
        <v>36.144578313253014</v>
      </c>
      <c r="P55" s="148">
        <v>40.58061495239581</v>
      </c>
      <c r="Q55" s="148">
        <v>33.03303303303303</v>
      </c>
      <c r="R55" s="148">
        <v>40.218328066647516</v>
      </c>
      <c r="S55" s="148">
        <v>33.03648376903188</v>
      </c>
      <c r="T55" s="148">
        <v>37.34559034760126</v>
      </c>
    </row>
    <row r="56" spans="1:20" ht="12.75">
      <c r="A56" s="145" t="s">
        <v>21</v>
      </c>
      <c r="B56" s="142"/>
      <c r="C56" s="147"/>
      <c r="D56" s="147"/>
      <c r="E56" s="148">
        <v>611.8452930126975</v>
      </c>
      <c r="F56" s="148">
        <v>619.4149872115472</v>
      </c>
      <c r="G56" s="148">
        <v>980.8217471211855</v>
      </c>
      <c r="H56" s="148">
        <v>1141.4610100836915</v>
      </c>
      <c r="I56" s="148">
        <v>1048.7744723830554</v>
      </c>
      <c r="J56" s="148">
        <v>701.4080176438563</v>
      </c>
      <c r="K56" s="148">
        <v>763.0188763893717</v>
      </c>
      <c r="L56" s="148">
        <v>654.1217620404965</v>
      </c>
      <c r="M56" s="148">
        <v>591.8154691422346</v>
      </c>
      <c r="N56" s="148">
        <v>580.5447807154974</v>
      </c>
      <c r="O56" s="148">
        <v>820.0980231631573</v>
      </c>
      <c r="P56" s="148">
        <v>743.4076412178601</v>
      </c>
      <c r="Q56" s="148">
        <v>794.9102944883443</v>
      </c>
      <c r="R56" s="148">
        <v>853.790588656294</v>
      </c>
      <c r="S56" s="148">
        <v>912.9274779804465</v>
      </c>
      <c r="T56" s="148">
        <v>1121.6255356465056</v>
      </c>
    </row>
    <row r="57" spans="1:20" ht="12.75">
      <c r="A57" s="145" t="s">
        <v>32</v>
      </c>
      <c r="B57" s="147"/>
      <c r="C57" s="147"/>
      <c r="D57" s="147"/>
      <c r="E57" s="148">
        <v>33.79684101078207</v>
      </c>
      <c r="F57" s="148">
        <v>31.137378985599074</v>
      </c>
      <c r="G57" s="148">
        <v>33.958487053595846</v>
      </c>
      <c r="H57" s="148">
        <v>38.47075163780988</v>
      </c>
      <c r="I57" s="148">
        <v>35.86370962780683</v>
      </c>
      <c r="J57" s="148">
        <v>43.655774029844636</v>
      </c>
      <c r="K57" s="148">
        <v>54.23606357615895</v>
      </c>
      <c r="L57" s="148">
        <v>69.44079227024085</v>
      </c>
      <c r="M57" s="148">
        <v>61.35093210629643</v>
      </c>
      <c r="N57" s="148">
        <v>58.74816983894583</v>
      </c>
      <c r="O57" s="148">
        <v>66.50913892556814</v>
      </c>
      <c r="P57" s="148">
        <v>113.40755655572663</v>
      </c>
      <c r="Q57" s="148">
        <v>188.40661194197685</v>
      </c>
      <c r="R57" s="148">
        <v>250.0933148784896</v>
      </c>
      <c r="S57" s="148">
        <v>454.2409090559443</v>
      </c>
      <c r="T57" s="148">
        <v>458.66562551301394</v>
      </c>
    </row>
    <row r="58" spans="1:21" ht="12.75">
      <c r="A58" s="145" t="s">
        <v>8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62" t="s">
        <v>248</v>
      </c>
    </row>
    <row r="59" spans="1:21" ht="12.75">
      <c r="A59" s="145" t="s">
        <v>14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62" t="s">
        <v>257</v>
      </c>
    </row>
    <row r="60" spans="1:20" ht="12.75">
      <c r="A60" s="145" t="s">
        <v>17</v>
      </c>
      <c r="B60" s="147"/>
      <c r="C60" s="147"/>
      <c r="D60" s="147"/>
      <c r="E60" s="148">
        <v>4.749076011933918</v>
      </c>
      <c r="F60" s="148">
        <v>42.89186236354605</v>
      </c>
      <c r="G60" s="148">
        <v>21.3145541487069</v>
      </c>
      <c r="H60" s="148">
        <v>72.32682193839219</v>
      </c>
      <c r="I60" s="148">
        <v>51.3763386027537</v>
      </c>
      <c r="J60" s="148">
        <v>43.325481006413426</v>
      </c>
      <c r="K60" s="148">
        <v>45.59459188783175</v>
      </c>
      <c r="L60" s="148">
        <v>29.752217803609668</v>
      </c>
      <c r="M60" s="148">
        <v>42.95753438409798</v>
      </c>
      <c r="N60" s="148">
        <v>56.92307692307692</v>
      </c>
      <c r="O60" s="148">
        <v>106.17204988807164</v>
      </c>
      <c r="P60" s="148">
        <v>98.79896673856888</v>
      </c>
      <c r="Q60" s="148">
        <v>57.76351518143668</v>
      </c>
      <c r="R60" s="148">
        <v>109.08588787627727</v>
      </c>
      <c r="S60" s="148">
        <v>101.82086335016167</v>
      </c>
      <c r="T60" s="148">
        <v>311.14978396543444</v>
      </c>
    </row>
  </sheetData>
  <sheetProtection/>
  <conditionalFormatting sqref="E43:T45">
    <cfRule type="cellIs" priority="1" dxfId="0" operator="not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V59"/>
  <sheetViews>
    <sheetView zoomScale="90" zoomScaleNormal="90" zoomScalePageLayoutView="0" workbookViewId="0" topLeftCell="A1">
      <selection activeCell="M21" sqref="M21"/>
    </sheetView>
  </sheetViews>
  <sheetFormatPr defaultColWidth="9.140625" defaultRowHeight="12.75"/>
  <cols>
    <col min="1" max="1" width="17.57421875" style="0" customWidth="1"/>
    <col min="2" max="2" width="10.28125" style="0" customWidth="1"/>
    <col min="3" max="3" width="10.421875" style="0" customWidth="1"/>
    <col min="4" max="4" width="11.57421875" style="0" customWidth="1"/>
    <col min="5" max="20" width="7.28125" style="0" customWidth="1"/>
  </cols>
  <sheetData>
    <row r="1" spans="1:20" ht="33" customHeight="1">
      <c r="A1" s="158" t="s">
        <v>254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3" spans="1:20" ht="12.75">
      <c r="A3" s="47" t="s">
        <v>120</v>
      </c>
      <c r="B3" s="47" t="s">
        <v>34</v>
      </c>
      <c r="C3" s="47" t="s">
        <v>134</v>
      </c>
      <c r="D3" s="47" t="s">
        <v>28</v>
      </c>
      <c r="E3" s="69">
        <v>1992</v>
      </c>
      <c r="F3" s="69">
        <v>1993</v>
      </c>
      <c r="G3" s="69">
        <v>1994</v>
      </c>
      <c r="H3" s="69">
        <v>1995</v>
      </c>
      <c r="I3" s="69">
        <v>1996</v>
      </c>
      <c r="J3" s="69">
        <v>1997</v>
      </c>
      <c r="K3" s="69">
        <v>1998</v>
      </c>
      <c r="L3" s="69">
        <v>1999</v>
      </c>
      <c r="M3" s="69">
        <v>2000</v>
      </c>
      <c r="N3" s="69">
        <v>2001</v>
      </c>
      <c r="O3" s="69">
        <v>2002</v>
      </c>
      <c r="P3" s="69">
        <v>2003</v>
      </c>
      <c r="Q3" s="69">
        <v>2004</v>
      </c>
      <c r="R3" s="69">
        <v>2005</v>
      </c>
      <c r="S3" s="69">
        <v>2006</v>
      </c>
      <c r="T3" s="69">
        <v>2007</v>
      </c>
    </row>
    <row r="4" spans="1:21" ht="12.75">
      <c r="A4" s="62" t="s">
        <v>0</v>
      </c>
      <c r="B4" s="132" t="s">
        <v>210</v>
      </c>
      <c r="C4" s="132" t="s">
        <v>210</v>
      </c>
      <c r="D4" s="132" t="s">
        <v>210</v>
      </c>
      <c r="E4" s="63">
        <v>10.537560954339657</v>
      </c>
      <c r="F4" s="63">
        <v>17.950190039461347</v>
      </c>
      <c r="G4" s="63">
        <v>21.075121908679314</v>
      </c>
      <c r="H4" s="63">
        <v>3.3429503717215465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0.889</v>
      </c>
      <c r="P4" s="63">
        <v>1.899</v>
      </c>
      <c r="Q4" s="63">
        <v>10.838</v>
      </c>
      <c r="R4" s="63">
        <v>6.158</v>
      </c>
      <c r="S4" s="63">
        <v>6.028</v>
      </c>
      <c r="T4" s="124">
        <f>S4</f>
        <v>6.028</v>
      </c>
      <c r="U4" s="62"/>
    </row>
    <row r="5" spans="1:21" ht="12.75">
      <c r="A5" s="62" t="s">
        <v>1</v>
      </c>
      <c r="B5" s="132" t="s">
        <v>210</v>
      </c>
      <c r="C5" s="132" t="s">
        <v>210</v>
      </c>
      <c r="D5" s="132" t="s">
        <v>212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63"/>
      <c r="P5" s="63"/>
      <c r="Q5" s="63"/>
      <c r="R5" s="63"/>
      <c r="S5" s="63"/>
      <c r="T5" s="63"/>
      <c r="U5" s="62" t="s">
        <v>251</v>
      </c>
    </row>
    <row r="6" spans="1:21" ht="12.75">
      <c r="A6" s="62" t="s">
        <v>2</v>
      </c>
      <c r="B6" s="132" t="s">
        <v>210</v>
      </c>
      <c r="C6" s="132" t="s">
        <v>210</v>
      </c>
      <c r="D6" s="132" t="s">
        <v>212</v>
      </c>
      <c r="E6" s="124">
        <f>F6</f>
        <v>1.2210482161981422</v>
      </c>
      <c r="F6" s="63">
        <v>1.2210482161981422</v>
      </c>
      <c r="G6" s="63">
        <v>1.4151913867291672</v>
      </c>
      <c r="H6" s="63">
        <v>1.3930507882032381</v>
      </c>
      <c r="I6" s="63">
        <v>0.4705190265381991</v>
      </c>
      <c r="J6" s="63">
        <v>2.4300998069582613</v>
      </c>
      <c r="K6" s="63">
        <v>5.585665076260187</v>
      </c>
      <c r="L6" s="63">
        <v>3.118052168948414</v>
      </c>
      <c r="M6" s="63">
        <v>11.288963774220724</v>
      </c>
      <c r="N6" s="63">
        <v>8.573188979843323</v>
      </c>
      <c r="O6" s="63">
        <v>16.64611190445281</v>
      </c>
      <c r="P6" s="63">
        <v>11.48725034543399</v>
      </c>
      <c r="Q6" s="63">
        <v>11.515797392176529</v>
      </c>
      <c r="R6" s="63">
        <v>10.174613834788449</v>
      </c>
      <c r="S6" s="63">
        <v>18.583071657904952</v>
      </c>
      <c r="T6" s="63">
        <v>14.037173114328938</v>
      </c>
      <c r="U6" s="62"/>
    </row>
    <row r="7" spans="1:21" ht="12.75">
      <c r="A7" s="62" t="s">
        <v>3</v>
      </c>
      <c r="B7" s="132" t="s">
        <v>210</v>
      </c>
      <c r="C7" s="132" t="s">
        <v>210</v>
      </c>
      <c r="D7" s="132" t="s">
        <v>210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2" t="s">
        <v>263</v>
      </c>
    </row>
    <row r="8" spans="1:21" ht="12.75">
      <c r="A8" s="62" t="s">
        <v>4</v>
      </c>
      <c r="B8" s="132" t="s">
        <v>210</v>
      </c>
      <c r="C8" s="132" t="s">
        <v>210</v>
      </c>
      <c r="D8" s="132" t="s">
        <v>212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2" t="s">
        <v>263</v>
      </c>
    </row>
    <row r="9" spans="1:21" ht="12.75">
      <c r="A9" s="62" t="s">
        <v>5</v>
      </c>
      <c r="B9" s="132" t="s">
        <v>210</v>
      </c>
      <c r="C9" s="132" t="s">
        <v>210</v>
      </c>
      <c r="D9" s="132" t="s">
        <v>210</v>
      </c>
      <c r="E9" s="63">
        <v>1.7</v>
      </c>
      <c r="F9" s="63">
        <v>1.7</v>
      </c>
      <c r="G9" s="63">
        <v>1.7</v>
      </c>
      <c r="H9" s="63">
        <v>1.7</v>
      </c>
      <c r="I9" s="63">
        <v>1.83</v>
      </c>
      <c r="J9" s="63">
        <v>1.01</v>
      </c>
      <c r="K9" s="63">
        <v>0.35</v>
      </c>
      <c r="L9" s="63">
        <v>0.69</v>
      </c>
      <c r="M9" s="63">
        <v>0.3</v>
      </c>
      <c r="N9" s="63">
        <v>3.48</v>
      </c>
      <c r="O9" s="63">
        <v>3.83</v>
      </c>
      <c r="P9" s="63">
        <v>2.27</v>
      </c>
      <c r="Q9" s="63">
        <v>3.89</v>
      </c>
      <c r="R9" s="63">
        <v>0.9199999999999999</v>
      </c>
      <c r="S9" s="63">
        <v>2.038</v>
      </c>
      <c r="T9" s="63">
        <v>5.38</v>
      </c>
      <c r="U9" s="62"/>
    </row>
    <row r="10" spans="1:21" ht="12.75">
      <c r="A10" s="62" t="s">
        <v>6</v>
      </c>
      <c r="B10" s="132" t="s">
        <v>210</v>
      </c>
      <c r="C10" s="132" t="s">
        <v>210</v>
      </c>
      <c r="D10" s="132" t="s">
        <v>210</v>
      </c>
      <c r="E10" s="63">
        <v>103.97506417228631</v>
      </c>
      <c r="F10" s="63">
        <v>68.2819148206361</v>
      </c>
      <c r="G10" s="63">
        <v>100.4181676542822</v>
      </c>
      <c r="H10" s="63">
        <v>107.25199974998361</v>
      </c>
      <c r="I10" s="63">
        <v>58.692871636403</v>
      </c>
      <c r="J10" s="63">
        <v>69.43290490077857</v>
      </c>
      <c r="K10" s="63">
        <v>84.67780662451962</v>
      </c>
      <c r="L10" s="63">
        <v>103.56319087988999</v>
      </c>
      <c r="M10" s="63">
        <v>114.44195274995158</v>
      </c>
      <c r="N10" s="63">
        <v>113.672</v>
      </c>
      <c r="O10" s="63">
        <v>114.611</v>
      </c>
      <c r="P10" s="63">
        <v>131.71</v>
      </c>
      <c r="Q10" s="63">
        <v>109.104</v>
      </c>
      <c r="R10" s="63">
        <v>107.692</v>
      </c>
      <c r="S10" s="63">
        <v>161.988</v>
      </c>
      <c r="T10" s="63">
        <v>167.64</v>
      </c>
      <c r="U10" s="62"/>
    </row>
    <row r="11" spans="1:21" ht="12.75">
      <c r="A11" s="64" t="s">
        <v>7</v>
      </c>
      <c r="B11" s="132" t="s">
        <v>210</v>
      </c>
      <c r="C11" s="132" t="s">
        <v>210</v>
      </c>
      <c r="D11" s="132" t="s">
        <v>210</v>
      </c>
      <c r="E11" s="63">
        <v>593</v>
      </c>
      <c r="F11" s="63">
        <v>695</v>
      </c>
      <c r="G11" s="63">
        <v>685</v>
      </c>
      <c r="H11" s="63">
        <v>711</v>
      </c>
      <c r="I11" s="63">
        <v>757</v>
      </c>
      <c r="J11" s="63">
        <v>741</v>
      </c>
      <c r="K11" s="63">
        <v>828</v>
      </c>
      <c r="L11" s="63">
        <v>849</v>
      </c>
      <c r="M11" s="63">
        <v>828</v>
      </c>
      <c r="N11" s="63">
        <v>844</v>
      </c>
      <c r="O11" s="63">
        <v>810</v>
      </c>
      <c r="P11" s="63">
        <v>825</v>
      </c>
      <c r="Q11" s="63">
        <v>790</v>
      </c>
      <c r="R11" s="63">
        <v>790</v>
      </c>
      <c r="S11" s="63">
        <v>800</v>
      </c>
      <c r="T11" s="63">
        <v>809</v>
      </c>
      <c r="U11" s="62"/>
    </row>
    <row r="12" spans="1:21" ht="12.75">
      <c r="A12" s="64" t="s">
        <v>30</v>
      </c>
      <c r="B12" s="132" t="s">
        <v>210</v>
      </c>
      <c r="C12" s="132" t="s">
        <v>210</v>
      </c>
      <c r="D12" s="132" t="s">
        <v>212</v>
      </c>
      <c r="E12" s="63">
        <v>3.218106370448093</v>
      </c>
      <c r="F12" s="63">
        <v>1.6440336096601333</v>
      </c>
      <c r="G12" s="63">
        <v>1.2430945148923607</v>
      </c>
      <c r="H12" s="63">
        <v>0.8082895346563088</v>
      </c>
      <c r="I12" s="63">
        <v>0.7226142217734727</v>
      </c>
      <c r="J12" s="63">
        <v>0.283481521858946</v>
      </c>
      <c r="K12" s="63">
        <v>0.333844155565336</v>
      </c>
      <c r="L12" s="63">
        <v>0.2887675361997797</v>
      </c>
      <c r="M12" s="63">
        <v>0.3268681379322014</v>
      </c>
      <c r="N12" s="63">
        <v>7.4021580797087765</v>
      </c>
      <c r="O12" s="63">
        <v>5.762028233938346</v>
      </c>
      <c r="P12" s="63">
        <v>7.340933296516903</v>
      </c>
      <c r="Q12" s="63">
        <v>0.7549268912905276</v>
      </c>
      <c r="R12" s="63">
        <v>1.5722636565208628</v>
      </c>
      <c r="S12" s="63">
        <v>3.882393007151777</v>
      </c>
      <c r="T12" s="63">
        <v>4.13831522820421</v>
      </c>
      <c r="U12" s="62"/>
    </row>
    <row r="13" spans="1:21" ht="12.75">
      <c r="A13" s="64" t="s">
        <v>8</v>
      </c>
      <c r="B13" s="132" t="s">
        <v>210</v>
      </c>
      <c r="C13" s="132" t="s">
        <v>212</v>
      </c>
      <c r="D13" s="132" t="s">
        <v>212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2" t="s">
        <v>251</v>
      </c>
    </row>
    <row r="14" spans="1:21" ht="12.75">
      <c r="A14" s="64" t="s">
        <v>9</v>
      </c>
      <c r="B14" s="132" t="s">
        <v>210</v>
      </c>
      <c r="C14" s="132" t="s">
        <v>210</v>
      </c>
      <c r="D14" s="132" t="s">
        <v>210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2" t="s">
        <v>251</v>
      </c>
    </row>
    <row r="15" spans="1:21" ht="12.75">
      <c r="A15" s="64" t="s">
        <v>10</v>
      </c>
      <c r="B15" s="132" t="s">
        <v>210</v>
      </c>
      <c r="C15" s="132" t="s">
        <v>210</v>
      </c>
      <c r="D15" s="132" t="s">
        <v>210</v>
      </c>
      <c r="E15" s="49"/>
      <c r="F15" s="49"/>
      <c r="G15" s="49"/>
      <c r="H15" s="52"/>
      <c r="I15" s="52"/>
      <c r="J15" s="67"/>
      <c r="K15" s="67"/>
      <c r="L15" s="67"/>
      <c r="M15" s="67"/>
      <c r="N15" s="67"/>
      <c r="O15" s="67"/>
      <c r="P15" s="67"/>
      <c r="Q15" s="67"/>
      <c r="R15" s="49"/>
      <c r="S15" s="49"/>
      <c r="T15" s="49"/>
      <c r="U15" s="62" t="s">
        <v>251</v>
      </c>
    </row>
    <row r="16" spans="1:21" ht="12.75">
      <c r="A16" s="64" t="s">
        <v>11</v>
      </c>
      <c r="B16" s="132" t="s">
        <v>210</v>
      </c>
      <c r="C16" s="132" t="s">
        <v>210</v>
      </c>
      <c r="D16" s="132" t="s">
        <v>212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2" t="s">
        <v>251</v>
      </c>
    </row>
    <row r="17" spans="1:21" ht="12.75">
      <c r="A17" s="64" t="s">
        <v>12</v>
      </c>
      <c r="B17" s="132" t="s">
        <v>210</v>
      </c>
      <c r="C17" s="132" t="s">
        <v>212</v>
      </c>
      <c r="D17" s="132" t="s">
        <v>212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2" t="s">
        <v>231</v>
      </c>
    </row>
    <row r="18" spans="1:21" ht="12.75">
      <c r="A18" s="64" t="s">
        <v>13</v>
      </c>
      <c r="B18" s="132" t="s">
        <v>210</v>
      </c>
      <c r="C18" s="132" t="s">
        <v>210</v>
      </c>
      <c r="D18" s="132" t="s">
        <v>212</v>
      </c>
      <c r="E18" s="63">
        <v>0</v>
      </c>
      <c r="F18" s="63">
        <v>0.11795188818197967</v>
      </c>
      <c r="G18" s="63">
        <v>0.27261718840806354</v>
      </c>
      <c r="H18" s="63">
        <v>0.6861607680413455</v>
      </c>
      <c r="I18" s="63">
        <v>0.05906686171857003</v>
      </c>
      <c r="J18" s="63">
        <v>0.06613537912106081</v>
      </c>
      <c r="K18" s="63">
        <v>0.22299676431694976</v>
      </c>
      <c r="L18" s="63">
        <v>0.2087193077085434</v>
      </c>
      <c r="M18" s="63">
        <v>0.1867287291621563</v>
      </c>
      <c r="N18" s="63">
        <v>0.2791502665885046</v>
      </c>
      <c r="O18" s="63">
        <v>0.2890674683471122</v>
      </c>
      <c r="P18" s="63">
        <v>0.2896284067541344</v>
      </c>
      <c r="Q18" s="63">
        <v>0</v>
      </c>
      <c r="R18" s="63">
        <v>0.2896200185356812</v>
      </c>
      <c r="S18" s="63">
        <v>1.7377201112140872</v>
      </c>
      <c r="T18" s="63">
        <v>3.4754402224281744</v>
      </c>
      <c r="U18" s="62"/>
    </row>
    <row r="19" spans="1:21" ht="12.75">
      <c r="A19" s="64" t="s">
        <v>121</v>
      </c>
      <c r="B19" s="132" t="s">
        <v>210</v>
      </c>
      <c r="C19" s="132" t="s">
        <v>210</v>
      </c>
      <c r="D19" s="132" t="s">
        <v>210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62" t="s">
        <v>231</v>
      </c>
    </row>
    <row r="20" spans="1:21" ht="12.75">
      <c r="A20" s="64" t="s">
        <v>14</v>
      </c>
      <c r="B20" s="132" t="s">
        <v>210</v>
      </c>
      <c r="C20" s="132" t="s">
        <v>210</v>
      </c>
      <c r="D20" s="132" t="s">
        <v>212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2" t="s">
        <v>251</v>
      </c>
    </row>
    <row r="21" spans="1:21" ht="12.75">
      <c r="A21" s="64" t="s">
        <v>31</v>
      </c>
      <c r="B21" s="132" t="s">
        <v>210</v>
      </c>
      <c r="C21" s="132" t="s">
        <v>212</v>
      </c>
      <c r="D21" s="132" t="s">
        <v>212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2" t="s">
        <v>263</v>
      </c>
    </row>
    <row r="22" spans="1:21" ht="12.75">
      <c r="A22" s="64" t="s">
        <v>15</v>
      </c>
      <c r="B22" s="132" t="s">
        <v>210</v>
      </c>
      <c r="C22" s="132" t="s">
        <v>210</v>
      </c>
      <c r="D22" s="132" t="s">
        <v>212</v>
      </c>
      <c r="E22" s="63"/>
      <c r="F22" s="63"/>
      <c r="G22" s="63"/>
      <c r="H22" s="63"/>
      <c r="I22" s="49"/>
      <c r="J22" s="49"/>
      <c r="K22" s="49"/>
      <c r="L22" s="49"/>
      <c r="M22" s="49"/>
      <c r="N22" s="49"/>
      <c r="O22" s="49"/>
      <c r="P22" s="49"/>
      <c r="Q22" s="63"/>
      <c r="R22" s="63"/>
      <c r="S22" s="63"/>
      <c r="T22" s="63"/>
      <c r="U22" s="62" t="s">
        <v>251</v>
      </c>
    </row>
    <row r="23" spans="1:21" ht="12.75">
      <c r="A23" s="64" t="s">
        <v>16</v>
      </c>
      <c r="B23" s="132" t="s">
        <v>210</v>
      </c>
      <c r="C23" s="132" t="s">
        <v>210</v>
      </c>
      <c r="D23" s="132" t="s">
        <v>210</v>
      </c>
      <c r="E23" s="63">
        <v>6.031</v>
      </c>
      <c r="F23" s="63">
        <v>0.639</v>
      </c>
      <c r="G23" s="63">
        <v>1.124</v>
      </c>
      <c r="H23" s="63">
        <v>0.729</v>
      </c>
      <c r="I23" s="63">
        <v>5.68</v>
      </c>
      <c r="J23" s="63">
        <v>9.306</v>
      </c>
      <c r="K23" s="63">
        <v>1.454</v>
      </c>
      <c r="L23" s="63">
        <v>0.15</v>
      </c>
      <c r="M23" s="63">
        <v>0.581</v>
      </c>
      <c r="N23" s="63">
        <v>1.43</v>
      </c>
      <c r="O23" s="63">
        <v>13.4</v>
      </c>
      <c r="P23" s="63">
        <v>5.5</v>
      </c>
      <c r="Q23" s="63">
        <v>7.9</v>
      </c>
      <c r="R23" s="63">
        <v>19.6</v>
      </c>
      <c r="S23" s="63">
        <v>13</v>
      </c>
      <c r="T23" s="63">
        <v>11.5</v>
      </c>
      <c r="U23" s="62"/>
    </row>
    <row r="24" spans="1:21" ht="12.75">
      <c r="A24" s="64" t="s">
        <v>17</v>
      </c>
      <c r="B24" s="132" t="s">
        <v>210</v>
      </c>
      <c r="C24" s="132" t="s">
        <v>210</v>
      </c>
      <c r="D24" s="132" t="s">
        <v>212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2" t="s">
        <v>251</v>
      </c>
    </row>
    <row r="25" spans="1:21" ht="12.75">
      <c r="A25" s="62" t="s">
        <v>18</v>
      </c>
      <c r="B25" s="132" t="s">
        <v>210</v>
      </c>
      <c r="C25" s="132" t="s">
        <v>210</v>
      </c>
      <c r="D25" s="132" t="s">
        <v>212</v>
      </c>
      <c r="E25" s="63">
        <v>35.41326110064193</v>
      </c>
      <c r="F25" s="63">
        <v>111.84595786488009</v>
      </c>
      <c r="G25" s="63">
        <v>89.53724010932622</v>
      </c>
      <c r="H25" s="63">
        <v>21.40749107806787</v>
      </c>
      <c r="I25" s="63">
        <v>18.96056049266627</v>
      </c>
      <c r="J25" s="63">
        <v>18.996192890071338</v>
      </c>
      <c r="K25" s="63">
        <v>9.584987734250525</v>
      </c>
      <c r="L25" s="63">
        <v>3.436581505765318</v>
      </c>
      <c r="M25" s="63">
        <v>1.1501807426881367</v>
      </c>
      <c r="N25" s="63">
        <v>0.7159353348729792</v>
      </c>
      <c r="O25" s="63">
        <v>0.6792523539607439</v>
      </c>
      <c r="P25" s="63">
        <v>0.7953915495673552</v>
      </c>
      <c r="Q25" s="63">
        <v>1.2493128779171456</v>
      </c>
      <c r="R25" s="63">
        <v>0.9331993985822805</v>
      </c>
      <c r="S25" s="63">
        <v>1.2627812895410608</v>
      </c>
      <c r="T25" s="63">
        <v>0.3847749021692535</v>
      </c>
      <c r="U25" s="62"/>
    </row>
    <row r="26" spans="1:21" ht="12.75">
      <c r="A26" s="62" t="s">
        <v>19</v>
      </c>
      <c r="B26" s="132" t="s">
        <v>210</v>
      </c>
      <c r="C26" s="132" t="s">
        <v>210</v>
      </c>
      <c r="D26" s="132" t="s">
        <v>212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2" t="s">
        <v>251</v>
      </c>
    </row>
    <row r="27" spans="1:21" ht="12.75">
      <c r="A27" s="64" t="s">
        <v>20</v>
      </c>
      <c r="B27" s="132" t="s">
        <v>210</v>
      </c>
      <c r="C27" s="132" t="s">
        <v>210</v>
      </c>
      <c r="D27" s="132" t="s">
        <v>210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2" t="s">
        <v>263</v>
      </c>
    </row>
    <row r="28" spans="1:21" ht="12.75">
      <c r="A28" s="62" t="s">
        <v>21</v>
      </c>
      <c r="B28" s="132" t="s">
        <v>210</v>
      </c>
      <c r="C28" s="132" t="s">
        <v>210</v>
      </c>
      <c r="D28" s="132" t="s">
        <v>210</v>
      </c>
      <c r="E28" s="70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2" t="s">
        <v>251</v>
      </c>
    </row>
    <row r="29" spans="1:21" ht="12.75">
      <c r="A29" s="62" t="s">
        <v>22</v>
      </c>
      <c r="B29" s="132" t="s">
        <v>210</v>
      </c>
      <c r="C29" s="132" t="s">
        <v>212</v>
      </c>
      <c r="D29" s="132" t="s">
        <v>212</v>
      </c>
      <c r="E29" s="63">
        <v>2.7506381480503475</v>
      </c>
      <c r="F29" s="63">
        <v>2.311884821898173</v>
      </c>
      <c r="G29" s="63">
        <v>13.569525690717295</v>
      </c>
      <c r="H29" s="63">
        <v>7.763271960355558</v>
      </c>
      <c r="I29" s="63">
        <v>7.01620084460821</v>
      </c>
      <c r="J29" s="63">
        <v>38.929439124661585</v>
      </c>
      <c r="K29" s="63">
        <v>39.45746043640596</v>
      </c>
      <c r="L29" s="63">
        <v>17.496719863525072</v>
      </c>
      <c r="M29" s="63">
        <v>16.695563137789478</v>
      </c>
      <c r="N29" s="63">
        <v>0</v>
      </c>
      <c r="O29" s="63">
        <v>4.08997955010225</v>
      </c>
      <c r="P29" s="63">
        <v>0</v>
      </c>
      <c r="Q29" s="63">
        <v>1.2955045990413265</v>
      </c>
      <c r="R29" s="63">
        <v>0</v>
      </c>
      <c r="S29" s="63">
        <v>0</v>
      </c>
      <c r="T29" s="63">
        <v>0</v>
      </c>
      <c r="U29" s="62"/>
    </row>
    <row r="30" spans="1:21" ht="12.75">
      <c r="A30" s="62" t="s">
        <v>32</v>
      </c>
      <c r="B30" s="132" t="s">
        <v>210</v>
      </c>
      <c r="C30" s="132" t="s">
        <v>212</v>
      </c>
      <c r="D30" s="132" t="s">
        <v>212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2" t="s">
        <v>251</v>
      </c>
    </row>
    <row r="31" spans="1:21" ht="12.75">
      <c r="A31" s="62" t="s">
        <v>100</v>
      </c>
      <c r="B31" s="132" t="s">
        <v>210</v>
      </c>
      <c r="C31" s="132" t="s">
        <v>210</v>
      </c>
      <c r="D31" s="132" t="s">
        <v>210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62" t="s">
        <v>263</v>
      </c>
    </row>
    <row r="32" spans="1:20" ht="12.75">
      <c r="A32" s="62"/>
      <c r="B32" s="62"/>
      <c r="C32" s="62"/>
      <c r="D32" s="6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2.75">
      <c r="A33" s="57" t="s">
        <v>134</v>
      </c>
      <c r="B33" s="57"/>
      <c r="C33" s="57"/>
      <c r="D33" s="57"/>
      <c r="E33" s="59">
        <f>E34+E35</f>
        <v>755.0960408139141</v>
      </c>
      <c r="F33" s="59">
        <f aca="true" t="shared" si="0" ref="F33:T33">F34+F35</f>
        <v>898.4000964390177</v>
      </c>
      <c r="G33" s="59">
        <f t="shared" si="0"/>
        <v>901.7854327623173</v>
      </c>
      <c r="H33" s="59">
        <f t="shared" si="0"/>
        <v>848.3189422906739</v>
      </c>
      <c r="I33" s="59">
        <f t="shared" si="0"/>
        <v>843.4156322390995</v>
      </c>
      <c r="J33" s="59">
        <f t="shared" si="0"/>
        <v>842.5248144987881</v>
      </c>
      <c r="K33" s="59">
        <f t="shared" si="0"/>
        <v>930.2093003549126</v>
      </c>
      <c r="L33" s="59">
        <f t="shared" si="0"/>
        <v>960.455311398512</v>
      </c>
      <c r="M33" s="59">
        <f t="shared" si="0"/>
        <v>956.2756941339549</v>
      </c>
      <c r="N33" s="59">
        <f t="shared" si="0"/>
        <v>979.5524326610135</v>
      </c>
      <c r="O33" s="59">
        <f t="shared" si="0"/>
        <v>966.106459960699</v>
      </c>
      <c r="P33" s="59">
        <f t="shared" si="0"/>
        <v>986.2922035982724</v>
      </c>
      <c r="Q33" s="59">
        <f t="shared" si="0"/>
        <v>935.2520371613841</v>
      </c>
      <c r="R33" s="59">
        <f t="shared" si="0"/>
        <v>937.3396969084273</v>
      </c>
      <c r="S33" s="59">
        <f t="shared" si="0"/>
        <v>1008.5199660658119</v>
      </c>
      <c r="T33" s="59">
        <f t="shared" si="0"/>
        <v>1021.5837034671306</v>
      </c>
    </row>
    <row r="34" spans="1:20" ht="12.75">
      <c r="A34" s="57" t="s">
        <v>132</v>
      </c>
      <c r="B34" s="57"/>
      <c r="C34" s="57"/>
      <c r="D34" s="57"/>
      <c r="E34" s="59">
        <f>E5+E6+E8+E12+E16+E18+E20+E22+E24+E25+E26</f>
        <v>39.852415687288165</v>
      </c>
      <c r="F34" s="59">
        <f aca="true" t="shared" si="1" ref="F34:T34">F5+F6+F8+F12+F16+F18+F20+F22+F24+F25+F26</f>
        <v>114.82899157892035</v>
      </c>
      <c r="G34" s="59">
        <f t="shared" si="1"/>
        <v>92.46814319935581</v>
      </c>
      <c r="H34" s="59">
        <f t="shared" si="1"/>
        <v>24.29499216896876</v>
      </c>
      <c r="I34" s="59">
        <f t="shared" si="1"/>
        <v>20.212760602696513</v>
      </c>
      <c r="J34" s="59">
        <f t="shared" si="1"/>
        <v>21.775909598009605</v>
      </c>
      <c r="K34" s="59">
        <f t="shared" si="1"/>
        <v>15.727493730392997</v>
      </c>
      <c r="L34" s="59">
        <f t="shared" si="1"/>
        <v>7.052120518622055</v>
      </c>
      <c r="M34" s="59">
        <f t="shared" si="1"/>
        <v>12.95274138400322</v>
      </c>
      <c r="N34" s="59">
        <f t="shared" si="1"/>
        <v>16.970432661013586</v>
      </c>
      <c r="O34" s="59">
        <f t="shared" si="1"/>
        <v>23.376459960699012</v>
      </c>
      <c r="P34" s="59">
        <f t="shared" si="1"/>
        <v>19.913203598272382</v>
      </c>
      <c r="Q34" s="59">
        <f t="shared" si="1"/>
        <v>13.5200371613842</v>
      </c>
      <c r="R34" s="59">
        <f t="shared" si="1"/>
        <v>12.969696908427272</v>
      </c>
      <c r="S34" s="59">
        <f t="shared" si="1"/>
        <v>25.465966065811877</v>
      </c>
      <c r="T34" s="59">
        <f t="shared" si="1"/>
        <v>22.03570346713058</v>
      </c>
    </row>
    <row r="35" spans="1:20" ht="12.75">
      <c r="A35" s="57" t="s">
        <v>28</v>
      </c>
      <c r="B35" s="57"/>
      <c r="C35" s="57"/>
      <c r="D35" s="57"/>
      <c r="E35" s="59">
        <f>E4+E7+E9+E10+E11+E14+E15+E19+E23+E27+E28+E31</f>
        <v>715.243625126626</v>
      </c>
      <c r="F35" s="59">
        <f aca="true" t="shared" si="2" ref="F35:T35">F4+F7+F9+F10+F11+F14+F15+F19+F23+F27+F28+F31</f>
        <v>783.5711048600974</v>
      </c>
      <c r="G35" s="59">
        <f t="shared" si="2"/>
        <v>809.3172895629615</v>
      </c>
      <c r="H35" s="59">
        <f t="shared" si="2"/>
        <v>824.0239501217052</v>
      </c>
      <c r="I35" s="59">
        <f t="shared" si="2"/>
        <v>823.202871636403</v>
      </c>
      <c r="J35" s="59">
        <f t="shared" si="2"/>
        <v>820.7489049007786</v>
      </c>
      <c r="K35" s="59">
        <f t="shared" si="2"/>
        <v>914.4818066245195</v>
      </c>
      <c r="L35" s="59">
        <f t="shared" si="2"/>
        <v>953.40319087989</v>
      </c>
      <c r="M35" s="59">
        <f t="shared" si="2"/>
        <v>943.3229527499516</v>
      </c>
      <c r="N35" s="59">
        <f t="shared" si="2"/>
        <v>962.582</v>
      </c>
      <c r="O35" s="59">
        <f t="shared" si="2"/>
        <v>942.73</v>
      </c>
      <c r="P35" s="59">
        <f t="shared" si="2"/>
        <v>966.379</v>
      </c>
      <c r="Q35" s="59">
        <f t="shared" si="2"/>
        <v>921.732</v>
      </c>
      <c r="R35" s="59">
        <f t="shared" si="2"/>
        <v>924.37</v>
      </c>
      <c r="S35" s="59">
        <f t="shared" si="2"/>
        <v>983.054</v>
      </c>
      <c r="T35" s="59">
        <f t="shared" si="2"/>
        <v>999.548</v>
      </c>
    </row>
    <row r="36" spans="1:20" ht="12.75">
      <c r="A36" s="57" t="s">
        <v>34</v>
      </c>
      <c r="B36" s="57"/>
      <c r="C36" s="57"/>
      <c r="D36" s="57"/>
      <c r="E36" s="59">
        <f>E33+E13+E17+E21+E29+E30</f>
        <v>757.8466789619645</v>
      </c>
      <c r="F36" s="59">
        <f aca="true" t="shared" si="3" ref="F36:T36">F33+F13+F17+F21+F29+F30</f>
        <v>900.7119812609159</v>
      </c>
      <c r="G36" s="59">
        <f t="shared" si="3"/>
        <v>915.3549584530347</v>
      </c>
      <c r="H36" s="59">
        <f t="shared" si="3"/>
        <v>856.0822142510295</v>
      </c>
      <c r="I36" s="59">
        <f t="shared" si="3"/>
        <v>850.4318330837077</v>
      </c>
      <c r="J36" s="59">
        <f t="shared" si="3"/>
        <v>881.4542536234497</v>
      </c>
      <c r="K36" s="59">
        <f t="shared" si="3"/>
        <v>969.6667607913186</v>
      </c>
      <c r="L36" s="59">
        <f t="shared" si="3"/>
        <v>977.952031262037</v>
      </c>
      <c r="M36" s="59">
        <f t="shared" si="3"/>
        <v>972.9712572717443</v>
      </c>
      <c r="N36" s="59">
        <f t="shared" si="3"/>
        <v>979.5524326610135</v>
      </c>
      <c r="O36" s="59">
        <f t="shared" si="3"/>
        <v>970.1964395108013</v>
      </c>
      <c r="P36" s="59">
        <f t="shared" si="3"/>
        <v>986.2922035982724</v>
      </c>
      <c r="Q36" s="59">
        <f t="shared" si="3"/>
        <v>936.5475417604255</v>
      </c>
      <c r="R36" s="59">
        <f t="shared" si="3"/>
        <v>937.3396969084273</v>
      </c>
      <c r="S36" s="59">
        <f t="shared" si="3"/>
        <v>1008.5199660658119</v>
      </c>
      <c r="T36" s="59">
        <f t="shared" si="3"/>
        <v>1021.5837034671306</v>
      </c>
    </row>
    <row r="37" spans="1:20" ht="12.75">
      <c r="A37" s="75" t="s">
        <v>247</v>
      </c>
      <c r="B37" s="57"/>
      <c r="C37" s="57"/>
      <c r="D37" s="57"/>
      <c r="E37" s="76">
        <f>COUNT(E4:E31)</f>
        <v>10</v>
      </c>
      <c r="F37" s="76">
        <f aca="true" t="shared" si="4" ref="F37:T37">COUNT(F4:F31)</f>
        <v>10</v>
      </c>
      <c r="G37" s="76">
        <f t="shared" si="4"/>
        <v>10</v>
      </c>
      <c r="H37" s="76">
        <f t="shared" si="4"/>
        <v>10</v>
      </c>
      <c r="I37" s="76">
        <f t="shared" si="4"/>
        <v>10</v>
      </c>
      <c r="J37" s="76">
        <f t="shared" si="4"/>
        <v>10</v>
      </c>
      <c r="K37" s="76">
        <f t="shared" si="4"/>
        <v>10</v>
      </c>
      <c r="L37" s="76">
        <f t="shared" si="4"/>
        <v>10</v>
      </c>
      <c r="M37" s="76">
        <f t="shared" si="4"/>
        <v>10</v>
      </c>
      <c r="N37" s="76">
        <f t="shared" si="4"/>
        <v>10</v>
      </c>
      <c r="O37" s="76">
        <f t="shared" si="4"/>
        <v>10</v>
      </c>
      <c r="P37" s="76">
        <f t="shared" si="4"/>
        <v>10</v>
      </c>
      <c r="Q37" s="76">
        <f t="shared" si="4"/>
        <v>10</v>
      </c>
      <c r="R37" s="76">
        <f t="shared" si="4"/>
        <v>10</v>
      </c>
      <c r="S37" s="76">
        <f t="shared" si="4"/>
        <v>10</v>
      </c>
      <c r="T37" s="76">
        <f t="shared" si="4"/>
        <v>10</v>
      </c>
    </row>
    <row r="38" spans="1:22" ht="12.75">
      <c r="A38" s="62" t="s">
        <v>133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 t="s">
        <v>25</v>
      </c>
      <c r="S38" s="62"/>
      <c r="T38" s="62"/>
      <c r="U38" s="62"/>
      <c r="V38" s="62"/>
    </row>
    <row r="39" spans="1:22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62" t="s">
        <v>219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62" t="s">
        <v>34</v>
      </c>
      <c r="B41" s="62"/>
      <c r="C41" s="62"/>
      <c r="D41" s="62"/>
      <c r="E41" s="135">
        <f>SUMIF($B$4:$B$31,"Y",E4:E31)/E36</f>
        <v>1.0000000000000002</v>
      </c>
      <c r="F41" s="135">
        <f aca="true" t="shared" si="5" ref="F41:T41">SUMIF($B$4:$B$31,"Y",F4:F31)/F36</f>
        <v>1.0000000000000002</v>
      </c>
      <c r="G41" s="135">
        <f t="shared" si="5"/>
        <v>1.0000000000000002</v>
      </c>
      <c r="H41" s="135">
        <f t="shared" si="5"/>
        <v>1</v>
      </c>
      <c r="I41" s="135">
        <f t="shared" si="5"/>
        <v>0.9999999999999999</v>
      </c>
      <c r="J41" s="135">
        <f t="shared" si="5"/>
        <v>1.0000000000000002</v>
      </c>
      <c r="K41" s="135">
        <f t="shared" si="5"/>
        <v>0.9999999999999999</v>
      </c>
      <c r="L41" s="135">
        <f t="shared" si="5"/>
        <v>1</v>
      </c>
      <c r="M41" s="135">
        <f t="shared" si="5"/>
        <v>1</v>
      </c>
      <c r="N41" s="135">
        <f t="shared" si="5"/>
        <v>1</v>
      </c>
      <c r="O41" s="135">
        <f t="shared" si="5"/>
        <v>1</v>
      </c>
      <c r="P41" s="135">
        <f t="shared" si="5"/>
        <v>1</v>
      </c>
      <c r="Q41" s="135">
        <f t="shared" si="5"/>
        <v>1.0000000000000002</v>
      </c>
      <c r="R41" s="135">
        <f t="shared" si="5"/>
        <v>0.9999999999999999</v>
      </c>
      <c r="S41" s="135">
        <f t="shared" si="5"/>
        <v>1</v>
      </c>
      <c r="T41" s="135">
        <f t="shared" si="5"/>
        <v>0.9999999999999999</v>
      </c>
      <c r="U41" s="62"/>
      <c r="V41" s="62"/>
    </row>
    <row r="42" spans="1:22" ht="12.75">
      <c r="A42" s="62" t="s">
        <v>134</v>
      </c>
      <c r="B42" s="62"/>
      <c r="C42" s="62"/>
      <c r="D42" s="62"/>
      <c r="E42" s="135">
        <f>SUMIF($C$4:$C$31,"Y",E4:E31)/E33</f>
        <v>1.0000000000000002</v>
      </c>
      <c r="F42" s="135">
        <f aca="true" t="shared" si="6" ref="F42:T42">SUMIF($C$4:$C$31,"Y",F4:F31)/F33</f>
        <v>1.0000000000000002</v>
      </c>
      <c r="G42" s="135">
        <f t="shared" si="6"/>
        <v>1.0000000000000002</v>
      </c>
      <c r="H42" s="135">
        <f t="shared" si="6"/>
        <v>1</v>
      </c>
      <c r="I42" s="135">
        <f t="shared" si="6"/>
        <v>0.9999999999999999</v>
      </c>
      <c r="J42" s="135">
        <f t="shared" si="6"/>
        <v>1.0000000000000002</v>
      </c>
      <c r="K42" s="135">
        <f t="shared" si="6"/>
        <v>0.9999999999999999</v>
      </c>
      <c r="L42" s="135">
        <f t="shared" si="6"/>
        <v>1</v>
      </c>
      <c r="M42" s="135">
        <f t="shared" si="6"/>
        <v>1</v>
      </c>
      <c r="N42" s="135">
        <f t="shared" si="6"/>
        <v>1</v>
      </c>
      <c r="O42" s="135">
        <f t="shared" si="6"/>
        <v>1</v>
      </c>
      <c r="P42" s="135">
        <f t="shared" si="6"/>
        <v>1</v>
      </c>
      <c r="Q42" s="135">
        <f t="shared" si="6"/>
        <v>1.0000000000000002</v>
      </c>
      <c r="R42" s="135">
        <f t="shared" si="6"/>
        <v>0.9999999999999999</v>
      </c>
      <c r="S42" s="135">
        <f t="shared" si="6"/>
        <v>1</v>
      </c>
      <c r="T42" s="135">
        <f t="shared" si="6"/>
        <v>0.9999999999999999</v>
      </c>
      <c r="U42" s="62"/>
      <c r="V42" s="62"/>
    </row>
    <row r="43" spans="1:22" ht="12.75">
      <c r="A43" s="62" t="s">
        <v>28</v>
      </c>
      <c r="B43" s="62"/>
      <c r="C43" s="62"/>
      <c r="D43" s="62"/>
      <c r="E43" s="135">
        <f>SUMIF($D$4:$D$31,"Y",E4:E31)/E35</f>
        <v>1</v>
      </c>
      <c r="F43" s="135">
        <f aca="true" t="shared" si="7" ref="F43:T43">SUMIF($D$4:$D$31,"Y",F4:F31)/F35</f>
        <v>1</v>
      </c>
      <c r="G43" s="135">
        <f t="shared" si="7"/>
        <v>1</v>
      </c>
      <c r="H43" s="135">
        <f t="shared" si="7"/>
        <v>1</v>
      </c>
      <c r="I43" s="135">
        <f t="shared" si="7"/>
        <v>1</v>
      </c>
      <c r="J43" s="135">
        <f t="shared" si="7"/>
        <v>1</v>
      </c>
      <c r="K43" s="135">
        <f t="shared" si="7"/>
        <v>1</v>
      </c>
      <c r="L43" s="135">
        <f t="shared" si="7"/>
        <v>1</v>
      </c>
      <c r="M43" s="135">
        <f t="shared" si="7"/>
        <v>1</v>
      </c>
      <c r="N43" s="135">
        <f t="shared" si="7"/>
        <v>1</v>
      </c>
      <c r="O43" s="135">
        <f t="shared" si="7"/>
        <v>1</v>
      </c>
      <c r="P43" s="135">
        <f t="shared" si="7"/>
        <v>1</v>
      </c>
      <c r="Q43" s="135">
        <f t="shared" si="7"/>
        <v>1</v>
      </c>
      <c r="R43" s="135">
        <f t="shared" si="7"/>
        <v>1</v>
      </c>
      <c r="S43" s="135">
        <f t="shared" si="7"/>
        <v>1</v>
      </c>
      <c r="T43" s="135">
        <f t="shared" si="7"/>
        <v>1</v>
      </c>
      <c r="U43" s="62"/>
      <c r="V43" s="62"/>
    </row>
    <row r="44" spans="1:22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" ht="12.75">
      <c r="A47" s="64" t="s">
        <v>230</v>
      </c>
      <c r="B47" s="64"/>
    </row>
    <row r="48" spans="1:20" ht="12.75">
      <c r="A48" s="141"/>
      <c r="B48" s="142"/>
      <c r="C48" s="147"/>
      <c r="D48" s="147"/>
      <c r="E48" s="143">
        <f>E3</f>
        <v>1992</v>
      </c>
      <c r="F48" s="143">
        <f aca="true" t="shared" si="8" ref="F48:T48">F3</f>
        <v>1993</v>
      </c>
      <c r="G48" s="143">
        <f t="shared" si="8"/>
        <v>1994</v>
      </c>
      <c r="H48" s="143">
        <f t="shared" si="8"/>
        <v>1995</v>
      </c>
      <c r="I48" s="143">
        <f t="shared" si="8"/>
        <v>1996</v>
      </c>
      <c r="J48" s="143">
        <f t="shared" si="8"/>
        <v>1997</v>
      </c>
      <c r="K48" s="143">
        <f t="shared" si="8"/>
        <v>1998</v>
      </c>
      <c r="L48" s="143">
        <f t="shared" si="8"/>
        <v>1999</v>
      </c>
      <c r="M48" s="143">
        <f t="shared" si="8"/>
        <v>2000</v>
      </c>
      <c r="N48" s="143">
        <f t="shared" si="8"/>
        <v>2001</v>
      </c>
      <c r="O48" s="143">
        <f t="shared" si="8"/>
        <v>2002</v>
      </c>
      <c r="P48" s="143">
        <f t="shared" si="8"/>
        <v>2003</v>
      </c>
      <c r="Q48" s="143">
        <f t="shared" si="8"/>
        <v>2004</v>
      </c>
      <c r="R48" s="143">
        <f t="shared" si="8"/>
        <v>2005</v>
      </c>
      <c r="S48" s="143">
        <f t="shared" si="8"/>
        <v>2006</v>
      </c>
      <c r="T48" s="143">
        <f t="shared" si="8"/>
        <v>2007</v>
      </c>
    </row>
    <row r="49" spans="1:20" ht="12.75">
      <c r="A49" s="141" t="s">
        <v>1</v>
      </c>
      <c r="B49" s="142"/>
      <c r="C49" s="147"/>
      <c r="D49" s="147"/>
      <c r="E49" s="148"/>
      <c r="F49" s="147"/>
      <c r="G49" s="147"/>
      <c r="H49" s="147"/>
      <c r="I49" s="147"/>
      <c r="J49" s="147"/>
      <c r="K49" s="147"/>
      <c r="L49" s="147"/>
      <c r="M49" s="147"/>
      <c r="N49" s="147"/>
      <c r="O49" s="148">
        <v>463.2669813256721</v>
      </c>
      <c r="P49" s="148">
        <v>38.48127244740893</v>
      </c>
      <c r="Q49" s="148">
        <v>25.57113121570272</v>
      </c>
      <c r="R49" s="148">
        <v>85.38574415976849</v>
      </c>
      <c r="S49" s="148">
        <v>196.84737426054411</v>
      </c>
      <c r="T49" s="148">
        <v>405.46068105123226</v>
      </c>
    </row>
    <row r="50" spans="1:21" ht="12.75">
      <c r="A50" s="141" t="s">
        <v>19</v>
      </c>
      <c r="B50" s="142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62" t="s">
        <v>231</v>
      </c>
    </row>
    <row r="51" spans="1:21" ht="12.75">
      <c r="A51" s="145" t="s">
        <v>15</v>
      </c>
      <c r="B51" s="146"/>
      <c r="C51" s="147"/>
      <c r="D51" s="147"/>
      <c r="E51" s="148">
        <v>4.081881547994479</v>
      </c>
      <c r="F51" s="148">
        <v>7.454633556606783</v>
      </c>
      <c r="G51" s="148">
        <v>6.98001502973781</v>
      </c>
      <c r="H51" s="148">
        <v>9.56316028854257</v>
      </c>
      <c r="I51" s="149"/>
      <c r="J51" s="149"/>
      <c r="K51" s="149"/>
      <c r="L51" s="149"/>
      <c r="M51" s="149"/>
      <c r="N51" s="149"/>
      <c r="O51" s="149"/>
      <c r="P51" s="149"/>
      <c r="Q51" s="148">
        <v>14.13802244411063</v>
      </c>
      <c r="R51" s="148">
        <v>6.966396363664466</v>
      </c>
      <c r="S51" s="148">
        <v>6.67450087530687</v>
      </c>
      <c r="T51" s="148">
        <v>12.679967381182696</v>
      </c>
      <c r="U51" s="62"/>
    </row>
    <row r="52" spans="1:21" ht="12.75">
      <c r="A52" s="145" t="s">
        <v>9</v>
      </c>
      <c r="B52" s="142"/>
      <c r="C52" s="147"/>
      <c r="D52" s="147"/>
      <c r="E52" s="148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62" t="s">
        <v>231</v>
      </c>
    </row>
    <row r="53" spans="1:21" ht="12.75">
      <c r="A53" s="145" t="s">
        <v>10</v>
      </c>
      <c r="B53" s="142"/>
      <c r="C53" s="147"/>
      <c r="D53" s="147"/>
      <c r="E53" s="149"/>
      <c r="F53" s="147"/>
      <c r="G53" s="147"/>
      <c r="H53" s="53">
        <v>9.471819529301182</v>
      </c>
      <c r="I53" s="53">
        <v>9.471819529301182</v>
      </c>
      <c r="J53" s="148">
        <v>9.471819529301182</v>
      </c>
      <c r="K53" s="148">
        <v>22.20764666084792</v>
      </c>
      <c r="L53" s="148">
        <v>10.706151518125056</v>
      </c>
      <c r="M53" s="148">
        <v>30.45546333930702</v>
      </c>
      <c r="N53" s="148">
        <v>25.81</v>
      </c>
      <c r="O53" s="148">
        <v>16.15</v>
      </c>
      <c r="P53" s="148">
        <v>17.18</v>
      </c>
      <c r="Q53" s="148">
        <v>38.84</v>
      </c>
      <c r="R53" s="147"/>
      <c r="S53" s="147"/>
      <c r="T53" s="147"/>
      <c r="U53" s="62"/>
    </row>
    <row r="54" spans="1:21" ht="12.75">
      <c r="A54" s="145" t="s">
        <v>11</v>
      </c>
      <c r="B54" s="142"/>
      <c r="C54" s="147"/>
      <c r="D54" s="147"/>
      <c r="E54" s="148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62" t="s">
        <v>231</v>
      </c>
    </row>
    <row r="55" spans="1:21" ht="12.75">
      <c r="A55" s="145" t="s">
        <v>21</v>
      </c>
      <c r="B55" s="142"/>
      <c r="C55" s="147"/>
      <c r="D55" s="147"/>
      <c r="E55" s="148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62" t="s">
        <v>231</v>
      </c>
    </row>
    <row r="56" spans="1:21" ht="12.75">
      <c r="A56" s="145" t="s">
        <v>32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62" t="s">
        <v>231</v>
      </c>
    </row>
    <row r="57" spans="1:21" ht="12.75">
      <c r="A57" s="145" t="s">
        <v>8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62" t="s">
        <v>231</v>
      </c>
    </row>
    <row r="58" spans="1:21" ht="12.75">
      <c r="A58" s="145" t="s">
        <v>14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62" t="s">
        <v>231</v>
      </c>
    </row>
    <row r="59" spans="1:20" ht="12.75">
      <c r="A59" s="145" t="s">
        <v>17</v>
      </c>
      <c r="B59" s="147"/>
      <c r="C59" s="147"/>
      <c r="D59" s="147"/>
      <c r="E59" s="148">
        <v>1.1844859063988955</v>
      </c>
      <c r="F59" s="148">
        <v>14.52084485736541</v>
      </c>
      <c r="G59" s="148">
        <v>13.535496957403652</v>
      </c>
      <c r="H59" s="148">
        <v>244.473328324568</v>
      </c>
      <c r="I59" s="148">
        <v>150.13666496685366</v>
      </c>
      <c r="J59" s="148">
        <v>110.3333744449926</v>
      </c>
      <c r="K59" s="148">
        <v>106.93580370555834</v>
      </c>
      <c r="L59" s="148">
        <v>96.4576323034567</v>
      </c>
      <c r="M59" s="148">
        <v>105.12498745105914</v>
      </c>
      <c r="N59" s="148">
        <v>168.84615384615384</v>
      </c>
      <c r="O59" s="148">
        <v>103.6136872401663</v>
      </c>
      <c r="P59" s="148">
        <v>163.7772629224255</v>
      </c>
      <c r="Q59" s="148">
        <v>190.57022957294495</v>
      </c>
      <c r="R59" s="148">
        <v>139.74040320353492</v>
      </c>
      <c r="S59" s="148">
        <v>213.00130466844405</v>
      </c>
      <c r="T59" s="148">
        <v>359.1574651944311</v>
      </c>
    </row>
  </sheetData>
  <sheetProtection/>
  <mergeCells count="1">
    <mergeCell ref="A1:T1"/>
  </mergeCells>
  <conditionalFormatting sqref="E41:T43">
    <cfRule type="cellIs" priority="1" dxfId="0" operator="not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V58"/>
  <sheetViews>
    <sheetView zoomScale="90" zoomScaleNormal="90" zoomScalePageLayoutView="0" workbookViewId="0" topLeftCell="A1">
      <selection activeCell="X19" sqref="X19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1.8515625" style="0" customWidth="1"/>
    <col min="4" max="4" width="12.7109375" style="0" customWidth="1"/>
    <col min="5" max="20" width="7.8515625" style="0" customWidth="1"/>
  </cols>
  <sheetData>
    <row r="1" spans="1:4" ht="27.75" customHeight="1">
      <c r="A1" s="46" t="s">
        <v>253</v>
      </c>
      <c r="B1" s="46"/>
      <c r="C1" s="46"/>
      <c r="D1" s="46"/>
    </row>
    <row r="2" spans="1:20" s="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"/>
      <c r="T2" s="15"/>
    </row>
    <row r="3" spans="1:20" ht="12.75">
      <c r="A3" s="47" t="s">
        <v>120</v>
      </c>
      <c r="B3" s="47" t="s">
        <v>34</v>
      </c>
      <c r="C3" s="47" t="s">
        <v>134</v>
      </c>
      <c r="D3" s="47" t="s">
        <v>28</v>
      </c>
      <c r="E3" s="69">
        <v>1992</v>
      </c>
      <c r="F3" s="69">
        <v>1993</v>
      </c>
      <c r="G3" s="69">
        <v>1994</v>
      </c>
      <c r="H3" s="69">
        <v>1995</v>
      </c>
      <c r="I3" s="69">
        <v>1996</v>
      </c>
      <c r="J3" s="69">
        <v>1997</v>
      </c>
      <c r="K3" s="69">
        <v>1998</v>
      </c>
      <c r="L3" s="69">
        <v>1999</v>
      </c>
      <c r="M3" s="69">
        <v>2000</v>
      </c>
      <c r="N3" s="69">
        <v>2001</v>
      </c>
      <c r="O3" s="69">
        <v>2002</v>
      </c>
      <c r="P3" s="69">
        <v>2003</v>
      </c>
      <c r="Q3" s="69">
        <v>2004</v>
      </c>
      <c r="R3" s="69">
        <v>2005</v>
      </c>
      <c r="S3" s="69">
        <v>2006</v>
      </c>
      <c r="T3" s="69">
        <v>2007</v>
      </c>
    </row>
    <row r="4" spans="1:22" ht="12.75">
      <c r="A4" s="62" t="s">
        <v>0</v>
      </c>
      <c r="B4" s="132" t="s">
        <v>210</v>
      </c>
      <c r="C4" s="132" t="s">
        <v>210</v>
      </c>
      <c r="D4" s="132" t="s">
        <v>210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36" t="s">
        <v>259</v>
      </c>
      <c r="V4" s="157"/>
    </row>
    <row r="5" spans="1:22" ht="12.75">
      <c r="A5" s="62" t="s">
        <v>1</v>
      </c>
      <c r="B5" s="132" t="s">
        <v>210</v>
      </c>
      <c r="C5" s="132" t="s">
        <v>210</v>
      </c>
      <c r="D5" s="132" t="s">
        <v>212</v>
      </c>
      <c r="E5" s="49"/>
      <c r="F5" s="49"/>
      <c r="G5" s="49"/>
      <c r="H5" s="49"/>
      <c r="I5" s="49"/>
      <c r="J5" s="49"/>
      <c r="K5" s="49"/>
      <c r="L5" s="49"/>
      <c r="M5" s="49"/>
      <c r="N5" s="63"/>
      <c r="O5" s="63"/>
      <c r="P5" s="63"/>
      <c r="Q5" s="63"/>
      <c r="R5" s="63"/>
      <c r="S5" s="63"/>
      <c r="T5" s="63"/>
      <c r="U5" s="62" t="s">
        <v>251</v>
      </c>
      <c r="V5" s="157"/>
    </row>
    <row r="6" spans="1:22" ht="12.75">
      <c r="A6" s="62" t="s">
        <v>2</v>
      </c>
      <c r="B6" s="132" t="s">
        <v>210</v>
      </c>
      <c r="C6" s="132" t="s">
        <v>210</v>
      </c>
      <c r="D6" s="132" t="s">
        <v>212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136" t="s">
        <v>259</v>
      </c>
      <c r="V6" s="157"/>
    </row>
    <row r="7" spans="1:22" ht="12.75">
      <c r="A7" s="62" t="s">
        <v>3</v>
      </c>
      <c r="B7" s="132" t="s">
        <v>210</v>
      </c>
      <c r="C7" s="132" t="s">
        <v>210</v>
      </c>
      <c r="D7" s="132" t="s">
        <v>210</v>
      </c>
      <c r="E7" s="63">
        <v>60.95335659634408</v>
      </c>
      <c r="F7" s="63">
        <v>41.218975478001845</v>
      </c>
      <c r="G7" s="63">
        <v>59.12547229178342</v>
      </c>
      <c r="H7" s="63">
        <v>61.27149858140421</v>
      </c>
      <c r="I7" s="63">
        <v>53.537408216005865</v>
      </c>
      <c r="J7" s="63">
        <v>30.733829701391617</v>
      </c>
      <c r="K7" s="63">
        <v>56.67195604923126</v>
      </c>
      <c r="L7" s="63">
        <v>51.91146881287726</v>
      </c>
      <c r="M7" s="63">
        <v>56.883737154203224</v>
      </c>
      <c r="N7" s="63">
        <v>96.34868023778533</v>
      </c>
      <c r="O7" s="63">
        <v>10.497274745979409</v>
      </c>
      <c r="P7" s="63">
        <v>39.29643236841751</v>
      </c>
      <c r="Q7" s="63">
        <v>99.1948816516351</v>
      </c>
      <c r="R7" s="63">
        <v>71.2579510990633</v>
      </c>
      <c r="S7" s="63">
        <v>93.5715718370226</v>
      </c>
      <c r="T7" s="53">
        <v>98.98000868920252</v>
      </c>
      <c r="U7" s="62"/>
      <c r="V7" s="157"/>
    </row>
    <row r="8" spans="1:22" ht="12.75">
      <c r="A8" s="62" t="s">
        <v>4</v>
      </c>
      <c r="B8" s="132" t="s">
        <v>210</v>
      </c>
      <c r="C8" s="132" t="s">
        <v>210</v>
      </c>
      <c r="D8" s="132" t="s">
        <v>212</v>
      </c>
      <c r="E8" s="124">
        <f>F8</f>
        <v>10.668802149259898</v>
      </c>
      <c r="F8" s="63">
        <v>10.668802149259898</v>
      </c>
      <c r="G8" s="63">
        <v>22.237380627557982</v>
      </c>
      <c r="H8" s="63">
        <v>18.772857104722245</v>
      </c>
      <c r="I8" s="63">
        <v>20.834151771099325</v>
      </c>
      <c r="J8" s="63">
        <v>11.678228218672437</v>
      </c>
      <c r="K8" s="63">
        <v>21.913754675167162</v>
      </c>
      <c r="L8" s="63">
        <v>11.312332998774707</v>
      </c>
      <c r="M8" s="63">
        <v>17.8313499418404</v>
      </c>
      <c r="N8" s="63">
        <v>27.737655465085066</v>
      </c>
      <c r="O8" s="63">
        <v>21.729960502601205</v>
      </c>
      <c r="P8" s="63">
        <v>59.69347973361625</v>
      </c>
      <c r="Q8" s="63">
        <v>66.59593777561899</v>
      </c>
      <c r="R8" s="63">
        <v>22.049518745286516</v>
      </c>
      <c r="S8" s="63">
        <v>28.440683598992752</v>
      </c>
      <c r="T8" s="63">
        <v>54.5166362021142</v>
      </c>
      <c r="U8" s="62"/>
      <c r="V8" s="157"/>
    </row>
    <row r="9" spans="1:22" ht="12.75">
      <c r="A9" s="62" t="s">
        <v>5</v>
      </c>
      <c r="B9" s="132" t="s">
        <v>210</v>
      </c>
      <c r="C9" s="132" t="s">
        <v>210</v>
      </c>
      <c r="D9" s="132" t="s">
        <v>210</v>
      </c>
      <c r="E9" s="63">
        <v>41.45</v>
      </c>
      <c r="F9" s="63">
        <v>41.45</v>
      </c>
      <c r="G9" s="63">
        <v>41.45</v>
      </c>
      <c r="H9" s="63">
        <v>41.45</v>
      </c>
      <c r="I9" s="63">
        <v>50.52</v>
      </c>
      <c r="J9" s="63">
        <v>43.49</v>
      </c>
      <c r="K9" s="63">
        <v>56.32</v>
      </c>
      <c r="L9" s="63">
        <v>70.03</v>
      </c>
      <c r="M9" s="63">
        <v>59.4</v>
      </c>
      <c r="N9" s="63">
        <v>72.46</v>
      </c>
      <c r="O9" s="63">
        <v>55.45</v>
      </c>
      <c r="P9" s="63">
        <v>88.81</v>
      </c>
      <c r="Q9" s="63">
        <v>118.25</v>
      </c>
      <c r="R9" s="63">
        <v>135.71</v>
      </c>
      <c r="S9" s="63">
        <v>195.1</v>
      </c>
      <c r="T9" s="63">
        <v>223.24800000000002</v>
      </c>
      <c r="U9" s="62"/>
      <c r="V9" s="157"/>
    </row>
    <row r="10" spans="1:22" ht="12.75">
      <c r="A10" s="62" t="s">
        <v>6</v>
      </c>
      <c r="B10" s="132" t="s">
        <v>210</v>
      </c>
      <c r="C10" s="132" t="s">
        <v>210</v>
      </c>
      <c r="D10" s="132" t="s">
        <v>210</v>
      </c>
      <c r="E10" s="63">
        <v>214.33417129476476</v>
      </c>
      <c r="F10" s="63">
        <v>221.69593433715931</v>
      </c>
      <c r="G10" s="63">
        <v>266.4000841518575</v>
      </c>
      <c r="H10" s="63">
        <v>235.28981320421917</v>
      </c>
      <c r="I10" s="63">
        <v>195.35</v>
      </c>
      <c r="J10" s="63">
        <v>177.64</v>
      </c>
      <c r="K10" s="63">
        <v>189.15</v>
      </c>
      <c r="L10" s="63">
        <v>173.62</v>
      </c>
      <c r="M10" s="63">
        <v>196.51</v>
      </c>
      <c r="N10" s="63">
        <v>295.53</v>
      </c>
      <c r="O10" s="63">
        <v>320.34</v>
      </c>
      <c r="P10" s="63">
        <v>483.46</v>
      </c>
      <c r="Q10" s="63">
        <v>377.47</v>
      </c>
      <c r="R10" s="63">
        <v>282.57</v>
      </c>
      <c r="S10" s="63">
        <v>261.28</v>
      </c>
      <c r="T10" s="63">
        <v>252.09</v>
      </c>
      <c r="U10" s="62"/>
      <c r="V10" s="157"/>
    </row>
    <row r="11" spans="1:22" ht="12.75">
      <c r="A11" s="64" t="s">
        <v>7</v>
      </c>
      <c r="B11" s="132" t="s">
        <v>210</v>
      </c>
      <c r="C11" s="132" t="s">
        <v>210</v>
      </c>
      <c r="D11" s="132" t="s">
        <v>210</v>
      </c>
      <c r="E11" s="63">
        <v>476</v>
      </c>
      <c r="F11" s="63">
        <v>481</v>
      </c>
      <c r="G11" s="63">
        <v>419</v>
      </c>
      <c r="H11" s="63">
        <v>506</v>
      </c>
      <c r="I11" s="63">
        <v>491</v>
      </c>
      <c r="J11" s="63">
        <v>562</v>
      </c>
      <c r="K11" s="63">
        <v>450</v>
      </c>
      <c r="L11" s="63">
        <v>409</v>
      </c>
      <c r="M11" s="63">
        <v>562</v>
      </c>
      <c r="N11" s="63">
        <v>506</v>
      </c>
      <c r="O11" s="63">
        <v>1020</v>
      </c>
      <c r="P11" s="63">
        <v>440</v>
      </c>
      <c r="Q11" s="63">
        <v>430</v>
      </c>
      <c r="R11" s="63">
        <v>570</v>
      </c>
      <c r="S11" s="63">
        <v>580</v>
      </c>
      <c r="T11" s="63">
        <v>640</v>
      </c>
      <c r="U11" s="62"/>
      <c r="V11" s="157"/>
    </row>
    <row r="12" spans="1:22" ht="12.75">
      <c r="A12" s="64" t="s">
        <v>30</v>
      </c>
      <c r="B12" s="132" t="s">
        <v>210</v>
      </c>
      <c r="C12" s="132" t="s">
        <v>210</v>
      </c>
      <c r="D12" s="132" t="s">
        <v>212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136" t="s">
        <v>259</v>
      </c>
      <c r="V12" s="157"/>
    </row>
    <row r="13" spans="1:22" ht="12.75">
      <c r="A13" s="64" t="s">
        <v>8</v>
      </c>
      <c r="B13" s="132" t="s">
        <v>210</v>
      </c>
      <c r="C13" s="132" t="s">
        <v>212</v>
      </c>
      <c r="D13" s="132" t="s">
        <v>212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2" t="s">
        <v>251</v>
      </c>
      <c r="V13" s="157"/>
    </row>
    <row r="14" spans="1:22" ht="12.75">
      <c r="A14" s="64" t="s">
        <v>9</v>
      </c>
      <c r="B14" s="132" t="s">
        <v>210</v>
      </c>
      <c r="C14" s="132" t="s">
        <v>210</v>
      </c>
      <c r="D14" s="132" t="s">
        <v>210</v>
      </c>
      <c r="E14" s="63"/>
      <c r="F14" s="63"/>
      <c r="G14" s="63"/>
      <c r="H14" s="63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62" t="s">
        <v>251</v>
      </c>
      <c r="V14" s="157"/>
    </row>
    <row r="15" spans="1:22" ht="12.75">
      <c r="A15" s="64" t="s">
        <v>10</v>
      </c>
      <c r="B15" s="132" t="s">
        <v>210</v>
      </c>
      <c r="C15" s="132" t="s">
        <v>210</v>
      </c>
      <c r="D15" s="132" t="s">
        <v>210</v>
      </c>
      <c r="E15" s="49"/>
      <c r="F15" s="49"/>
      <c r="G15" s="49"/>
      <c r="H15" s="52"/>
      <c r="I15" s="52"/>
      <c r="J15" s="67"/>
      <c r="K15" s="67"/>
      <c r="L15" s="67"/>
      <c r="M15" s="67"/>
      <c r="N15" s="67"/>
      <c r="O15" s="67"/>
      <c r="P15" s="67"/>
      <c r="Q15" s="67"/>
      <c r="R15" s="49"/>
      <c r="S15" s="49"/>
      <c r="T15" s="49"/>
      <c r="U15" s="62" t="s">
        <v>251</v>
      </c>
      <c r="V15" s="157"/>
    </row>
    <row r="16" spans="1:22" ht="12.75">
      <c r="A16" s="64" t="s">
        <v>11</v>
      </c>
      <c r="B16" s="132" t="s">
        <v>210</v>
      </c>
      <c r="C16" s="132" t="s">
        <v>210</v>
      </c>
      <c r="D16" s="132" t="s">
        <v>212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63"/>
      <c r="P16" s="63"/>
      <c r="Q16" s="63"/>
      <c r="R16" s="63"/>
      <c r="S16" s="63"/>
      <c r="T16" s="63"/>
      <c r="U16" s="62" t="s">
        <v>251</v>
      </c>
      <c r="V16" s="157"/>
    </row>
    <row r="17" spans="1:22" ht="12.75">
      <c r="A17" s="64" t="s">
        <v>12</v>
      </c>
      <c r="B17" s="132" t="s">
        <v>210</v>
      </c>
      <c r="C17" s="132" t="s">
        <v>212</v>
      </c>
      <c r="D17" s="132" t="s">
        <v>212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136" t="s">
        <v>259</v>
      </c>
      <c r="V17" s="157"/>
    </row>
    <row r="18" spans="1:22" ht="12.75">
      <c r="A18" s="64" t="s">
        <v>13</v>
      </c>
      <c r="B18" s="132" t="s">
        <v>210</v>
      </c>
      <c r="C18" s="132" t="s">
        <v>210</v>
      </c>
      <c r="D18" s="132" t="s">
        <v>212</v>
      </c>
      <c r="E18" s="63">
        <v>0</v>
      </c>
      <c r="F18" s="63">
        <v>0.1965864724916549</v>
      </c>
      <c r="G18" s="63">
        <v>0.8453246152188016</v>
      </c>
      <c r="H18" s="63">
        <v>5.733933994774475</v>
      </c>
      <c r="I18" s="63">
        <v>7.875581562476004</v>
      </c>
      <c r="J18" s="63">
        <v>20.94507456763996</v>
      </c>
      <c r="K18" s="63">
        <v>19.237930857623255</v>
      </c>
      <c r="L18" s="63">
        <v>10.797120142585774</v>
      </c>
      <c r="M18" s="63">
        <v>12.716497077289457</v>
      </c>
      <c r="N18" s="63">
        <v>32.93973145744354</v>
      </c>
      <c r="O18" s="63">
        <v>29.484881771405444</v>
      </c>
      <c r="P18" s="63">
        <v>23.45990094708489</v>
      </c>
      <c r="Q18" s="63">
        <v>16.21825132497321</v>
      </c>
      <c r="R18" s="63">
        <v>29.830861909175162</v>
      </c>
      <c r="S18" s="63">
        <v>29.541241890639483</v>
      </c>
      <c r="T18" s="63">
        <v>25.776181649675628</v>
      </c>
      <c r="U18" s="62"/>
      <c r="V18" s="157"/>
    </row>
    <row r="19" spans="1:22" ht="12.75">
      <c r="A19" s="64" t="s">
        <v>121</v>
      </c>
      <c r="B19" s="132" t="s">
        <v>210</v>
      </c>
      <c r="C19" s="132" t="s">
        <v>210</v>
      </c>
      <c r="D19" s="132" t="s">
        <v>210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2" t="s">
        <v>259</v>
      </c>
      <c r="V19" s="157"/>
    </row>
    <row r="20" spans="1:22" ht="12.75">
      <c r="A20" s="64" t="s">
        <v>14</v>
      </c>
      <c r="B20" s="132" t="s">
        <v>210</v>
      </c>
      <c r="C20" s="132" t="s">
        <v>210</v>
      </c>
      <c r="D20" s="132" t="s">
        <v>212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62" t="s">
        <v>231</v>
      </c>
      <c r="V20" s="157"/>
    </row>
    <row r="21" spans="1:22" ht="12.75">
      <c r="A21" s="64" t="s">
        <v>31</v>
      </c>
      <c r="B21" s="132" t="s">
        <v>210</v>
      </c>
      <c r="C21" s="132" t="s">
        <v>212</v>
      </c>
      <c r="D21" s="132" t="s">
        <v>212</v>
      </c>
      <c r="E21" s="63">
        <v>57.32568825022352</v>
      </c>
      <c r="F21" s="63">
        <v>56.44115077368904</v>
      </c>
      <c r="G21" s="63">
        <v>54.57237792798872</v>
      </c>
      <c r="H21" s="63">
        <v>67.82729384787135</v>
      </c>
      <c r="I21" s="63">
        <v>76.25122154456913</v>
      </c>
      <c r="J21" s="63">
        <v>77.56955382541362</v>
      </c>
      <c r="K21" s="63">
        <v>80.81984395015722</v>
      </c>
      <c r="L21" s="63">
        <v>106.37273777435503</v>
      </c>
      <c r="M21" s="63">
        <v>123.0383823041711</v>
      </c>
      <c r="N21" s="63">
        <v>0</v>
      </c>
      <c r="O21" s="63">
        <v>71.25163146258956</v>
      </c>
      <c r="P21" s="63">
        <v>25.739382504716808</v>
      </c>
      <c r="Q21" s="63">
        <v>81.24544487855</v>
      </c>
      <c r="R21" s="63">
        <v>115.79554234728165</v>
      </c>
      <c r="S21" s="63">
        <v>77.49913013547435</v>
      </c>
      <c r="T21" s="53">
        <v>81.97857985730477</v>
      </c>
      <c r="U21" s="62"/>
      <c r="V21" s="157"/>
    </row>
    <row r="22" spans="1:22" ht="12.75">
      <c r="A22" s="64" t="s">
        <v>15</v>
      </c>
      <c r="B22" s="132" t="s">
        <v>210</v>
      </c>
      <c r="C22" s="132" t="s">
        <v>210</v>
      </c>
      <c r="D22" s="132" t="s">
        <v>212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2" t="s">
        <v>251</v>
      </c>
      <c r="V22" s="157"/>
    </row>
    <row r="23" spans="1:22" ht="12.75">
      <c r="A23" s="64" t="s">
        <v>16</v>
      </c>
      <c r="B23" s="132" t="s">
        <v>210</v>
      </c>
      <c r="C23" s="132" t="s">
        <v>210</v>
      </c>
      <c r="D23" s="132" t="s">
        <v>210</v>
      </c>
      <c r="E23" s="63">
        <v>52.311813794894306</v>
      </c>
      <c r="F23" s="63">
        <v>56.1493226635708</v>
      </c>
      <c r="G23" s="63">
        <v>50.77380527021877</v>
      </c>
      <c r="H23" s="63">
        <v>85.99188905428917</v>
      </c>
      <c r="I23" s="63">
        <v>63.88590983357109</v>
      </c>
      <c r="J23" s="63">
        <v>84.2858221129478</v>
      </c>
      <c r="K23" s="63">
        <v>110.06280397493042</v>
      </c>
      <c r="L23" s="63">
        <v>112.02211793267226</v>
      </c>
      <c r="M23" s="63">
        <v>125.64878984</v>
      </c>
      <c r="N23" s="63">
        <v>86.53403835</v>
      </c>
      <c r="O23" s="63">
        <v>111.05900428</v>
      </c>
      <c r="P23" s="63">
        <v>84.55706018</v>
      </c>
      <c r="Q23" s="63">
        <v>75.903255</v>
      </c>
      <c r="R23" s="63">
        <v>34.85295</v>
      </c>
      <c r="S23" s="63">
        <v>88.472577</v>
      </c>
      <c r="T23" s="63">
        <v>116.35731756</v>
      </c>
      <c r="U23" s="62"/>
      <c r="V23" s="157"/>
    </row>
    <row r="24" spans="1:22" ht="12.75">
      <c r="A24" s="64" t="s">
        <v>17</v>
      </c>
      <c r="B24" s="132" t="s">
        <v>210</v>
      </c>
      <c r="C24" s="132" t="s">
        <v>210</v>
      </c>
      <c r="D24" s="132" t="s">
        <v>212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62" t="s">
        <v>231</v>
      </c>
      <c r="V24" s="157"/>
    </row>
    <row r="25" spans="1:22" ht="12.75">
      <c r="A25" s="62" t="s">
        <v>18</v>
      </c>
      <c r="B25" s="132" t="s">
        <v>210</v>
      </c>
      <c r="C25" s="132" t="s">
        <v>210</v>
      </c>
      <c r="D25" s="132" t="s">
        <v>212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136" t="s">
        <v>259</v>
      </c>
      <c r="V25" s="157"/>
    </row>
    <row r="26" spans="1:22" ht="12.75">
      <c r="A26" s="62" t="s">
        <v>19</v>
      </c>
      <c r="B26" s="132" t="s">
        <v>210</v>
      </c>
      <c r="C26" s="132" t="s">
        <v>210</v>
      </c>
      <c r="D26" s="132" t="s">
        <v>212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62" t="s">
        <v>251</v>
      </c>
      <c r="V26" s="157"/>
    </row>
    <row r="27" spans="1:22" ht="12.75">
      <c r="A27" s="64" t="s">
        <v>20</v>
      </c>
      <c r="B27" s="132" t="s">
        <v>210</v>
      </c>
      <c r="C27" s="132" t="s">
        <v>210</v>
      </c>
      <c r="D27" s="132" t="s">
        <v>210</v>
      </c>
      <c r="E27" s="63">
        <v>336.79516305458395</v>
      </c>
      <c r="F27" s="63">
        <v>351.43581791737284</v>
      </c>
      <c r="G27" s="63">
        <v>351.616121548688</v>
      </c>
      <c r="H27" s="63">
        <v>383.4276922337216</v>
      </c>
      <c r="I27" s="63">
        <v>413.1417306744558</v>
      </c>
      <c r="J27" s="63">
        <v>432.57245200918345</v>
      </c>
      <c r="K27" s="63">
        <v>446.0651737525994</v>
      </c>
      <c r="L27" s="63">
        <v>506.1964347961968</v>
      </c>
      <c r="M27" s="63">
        <v>497.62</v>
      </c>
      <c r="N27" s="63">
        <v>604.37</v>
      </c>
      <c r="O27" s="63">
        <v>656.72</v>
      </c>
      <c r="P27" s="63">
        <v>797.09</v>
      </c>
      <c r="Q27" s="63">
        <v>885.88</v>
      </c>
      <c r="R27" s="63">
        <v>1012.47</v>
      </c>
      <c r="S27" s="63">
        <v>1234</v>
      </c>
      <c r="T27" s="63">
        <v>1188</v>
      </c>
      <c r="U27" s="62"/>
      <c r="V27" s="157"/>
    </row>
    <row r="28" spans="1:22" ht="12.75">
      <c r="A28" s="62" t="s">
        <v>21</v>
      </c>
      <c r="B28" s="132" t="s">
        <v>210</v>
      </c>
      <c r="C28" s="132" t="s">
        <v>210</v>
      </c>
      <c r="D28" s="132" t="s">
        <v>210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67"/>
      <c r="P28" s="67"/>
      <c r="Q28" s="67"/>
      <c r="R28" s="67"/>
      <c r="S28" s="67"/>
      <c r="T28" s="52"/>
      <c r="U28" s="62" t="s">
        <v>251</v>
      </c>
      <c r="V28" s="157"/>
    </row>
    <row r="29" spans="1:22" ht="12.75">
      <c r="A29" s="62" t="s">
        <v>22</v>
      </c>
      <c r="B29" s="132" t="s">
        <v>210</v>
      </c>
      <c r="C29" s="132" t="s">
        <v>212</v>
      </c>
      <c r="D29" s="132" t="s">
        <v>212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36" t="s">
        <v>259</v>
      </c>
      <c r="V29" s="157"/>
    </row>
    <row r="30" spans="1:22" ht="12.75">
      <c r="A30" s="62" t="s">
        <v>32</v>
      </c>
      <c r="B30" s="132" t="s">
        <v>210</v>
      </c>
      <c r="C30" s="132" t="s">
        <v>212</v>
      </c>
      <c r="D30" s="132" t="s">
        <v>212</v>
      </c>
      <c r="E30" s="49"/>
      <c r="F30" s="49"/>
      <c r="G30" s="49"/>
      <c r="H30" s="49"/>
      <c r="I30" s="49"/>
      <c r="J30" s="49"/>
      <c r="K30" s="49"/>
      <c r="L30" s="49"/>
      <c r="M30" s="49"/>
      <c r="N30" s="63"/>
      <c r="O30" s="63"/>
      <c r="P30" s="63"/>
      <c r="Q30" s="63"/>
      <c r="R30" s="63"/>
      <c r="S30" s="63"/>
      <c r="T30" s="63"/>
      <c r="U30" s="62" t="s">
        <v>251</v>
      </c>
      <c r="V30" s="157"/>
    </row>
    <row r="31" spans="1:22" ht="12.75">
      <c r="A31" s="48" t="s">
        <v>122</v>
      </c>
      <c r="B31" s="132" t="s">
        <v>210</v>
      </c>
      <c r="C31" s="132" t="s">
        <v>210</v>
      </c>
      <c r="D31" s="132" t="s">
        <v>210</v>
      </c>
      <c r="E31" s="63">
        <v>145.05524300142343</v>
      </c>
      <c r="F31" s="63">
        <v>157.69473376513486</v>
      </c>
      <c r="G31" s="63">
        <v>154.65871223105864</v>
      </c>
      <c r="H31" s="63">
        <v>199.08565491041492</v>
      </c>
      <c r="I31" s="63">
        <v>184.32092250461702</v>
      </c>
      <c r="J31" s="63">
        <v>288.89042331191894</v>
      </c>
      <c r="K31" s="63">
        <v>314.01282219023943</v>
      </c>
      <c r="L31" s="63">
        <v>379.51240246531256</v>
      </c>
      <c r="M31" s="63">
        <v>336.3523003215856</v>
      </c>
      <c r="N31" s="63">
        <v>374.6763793075723</v>
      </c>
      <c r="O31" s="63">
        <v>375.3001606157467</v>
      </c>
      <c r="P31" s="63">
        <v>447.98335236058324</v>
      </c>
      <c r="Q31" s="63">
        <v>297.64535997406654</v>
      </c>
      <c r="R31" s="63">
        <v>336.40816575828353</v>
      </c>
      <c r="S31" s="53">
        <v>394.33765190185994</v>
      </c>
      <c r="T31" s="53">
        <v>417.1303681817875</v>
      </c>
      <c r="V31" s="157"/>
    </row>
    <row r="32" spans="1:22" ht="12.75">
      <c r="A32" s="48"/>
      <c r="B32" s="48"/>
      <c r="C32" s="48"/>
      <c r="D32" s="48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53"/>
      <c r="T32" s="53"/>
      <c r="V32" s="157"/>
    </row>
    <row r="33" spans="1:20" ht="12.75">
      <c r="A33" s="57" t="s">
        <v>134</v>
      </c>
      <c r="B33" s="57"/>
      <c r="C33" s="57"/>
      <c r="D33" s="57"/>
      <c r="E33" s="59">
        <f>E34+E35</f>
        <v>1337.5685498912703</v>
      </c>
      <c r="F33" s="59">
        <f aca="true" t="shared" si="0" ref="F33:S33">F34+F35</f>
        <v>1361.5101727829915</v>
      </c>
      <c r="G33" s="59">
        <f t="shared" si="0"/>
        <v>1366.106900736383</v>
      </c>
      <c r="H33" s="59">
        <f t="shared" si="0"/>
        <v>1537.0233390835458</v>
      </c>
      <c r="I33" s="59">
        <f t="shared" si="0"/>
        <v>1480.4657045622253</v>
      </c>
      <c r="J33" s="59">
        <f t="shared" si="0"/>
        <v>1652.2358299217544</v>
      </c>
      <c r="K33" s="59">
        <f t="shared" si="0"/>
        <v>1663.4344414997909</v>
      </c>
      <c r="L33" s="59">
        <f t="shared" si="0"/>
        <v>1724.4018771484193</v>
      </c>
      <c r="M33" s="59">
        <f t="shared" si="0"/>
        <v>1864.9626743349188</v>
      </c>
      <c r="N33" s="59">
        <f t="shared" si="0"/>
        <v>2096.5964848178864</v>
      </c>
      <c r="O33" s="59">
        <f t="shared" si="0"/>
        <v>2600.5812819157327</v>
      </c>
      <c r="P33" s="59">
        <f t="shared" si="0"/>
        <v>2464.350225589702</v>
      </c>
      <c r="Q33" s="59">
        <f t="shared" si="0"/>
        <v>2367.157685726294</v>
      </c>
      <c r="R33" s="59">
        <f t="shared" si="0"/>
        <v>2495.1494475118084</v>
      </c>
      <c r="S33" s="59">
        <f t="shared" si="0"/>
        <v>2904.743726228515</v>
      </c>
      <c r="T33" s="59">
        <f>T34+T35</f>
        <v>3016.09851228278</v>
      </c>
    </row>
    <row r="34" spans="1:20" ht="12.75">
      <c r="A34" s="57" t="s">
        <v>132</v>
      </c>
      <c r="B34" s="57"/>
      <c r="C34" s="57"/>
      <c r="D34" s="57"/>
      <c r="E34" s="59">
        <f>E5+E6+E8+E12+E16+E18+E20+E22+E24+E25+E26</f>
        <v>10.668802149259898</v>
      </c>
      <c r="F34" s="59">
        <f>F5+F6+F8+F12+F16+F18+F20+F22+F24+F25+F26</f>
        <v>10.865388621751553</v>
      </c>
      <c r="G34" s="59">
        <f aca="true" t="shared" si="1" ref="G34:T34">G5+G6+G8+G12+G16+G18+G20+G22+G24+G25+G26</f>
        <v>23.082705242776782</v>
      </c>
      <c r="H34" s="59">
        <f t="shared" si="1"/>
        <v>24.50679109949672</v>
      </c>
      <c r="I34" s="59">
        <f t="shared" si="1"/>
        <v>28.70973333357533</v>
      </c>
      <c r="J34" s="59">
        <f t="shared" si="1"/>
        <v>32.623302786312394</v>
      </c>
      <c r="K34" s="59">
        <f t="shared" si="1"/>
        <v>41.15168553279042</v>
      </c>
      <c r="L34" s="59">
        <f t="shared" si="1"/>
        <v>22.109453141360483</v>
      </c>
      <c r="M34" s="59">
        <f t="shared" si="1"/>
        <v>30.547847019129858</v>
      </c>
      <c r="N34" s="59">
        <f t="shared" si="1"/>
        <v>60.67738692252861</v>
      </c>
      <c r="O34" s="59">
        <f t="shared" si="1"/>
        <v>51.21484227400665</v>
      </c>
      <c r="P34" s="59">
        <f t="shared" si="1"/>
        <v>83.15338068070113</v>
      </c>
      <c r="Q34" s="59">
        <f t="shared" si="1"/>
        <v>82.8141891005922</v>
      </c>
      <c r="R34" s="59">
        <f t="shared" si="1"/>
        <v>51.880380654461675</v>
      </c>
      <c r="S34" s="59">
        <f t="shared" si="1"/>
        <v>57.98192548963223</v>
      </c>
      <c r="T34" s="59">
        <f t="shared" si="1"/>
        <v>80.29281785178983</v>
      </c>
    </row>
    <row r="35" spans="1:20" ht="12.75">
      <c r="A35" s="57" t="s">
        <v>28</v>
      </c>
      <c r="B35" s="57"/>
      <c r="C35" s="57"/>
      <c r="D35" s="57"/>
      <c r="E35" s="59">
        <f>E4+E7+E9+E10+E11+E14+E15+E19+E23+E27+E28+E31</f>
        <v>1326.8997477420105</v>
      </c>
      <c r="F35" s="59">
        <f aca="true" t="shared" si="2" ref="F35:T35">F4+F7+F9+F10+F11+F14+F15+F19+F23+F27+F28+F31</f>
        <v>1350.6447841612398</v>
      </c>
      <c r="G35" s="59">
        <f t="shared" si="2"/>
        <v>1343.0241954936064</v>
      </c>
      <c r="H35" s="59">
        <f t="shared" si="2"/>
        <v>1512.516547984049</v>
      </c>
      <c r="I35" s="59">
        <f t="shared" si="2"/>
        <v>1451.75597122865</v>
      </c>
      <c r="J35" s="59">
        <f t="shared" si="2"/>
        <v>1619.612527135442</v>
      </c>
      <c r="K35" s="59">
        <f t="shared" si="2"/>
        <v>1622.2827559670004</v>
      </c>
      <c r="L35" s="59">
        <f t="shared" si="2"/>
        <v>1702.2924240070588</v>
      </c>
      <c r="M35" s="59">
        <f t="shared" si="2"/>
        <v>1834.414827315789</v>
      </c>
      <c r="N35" s="59">
        <f t="shared" si="2"/>
        <v>2035.9190978953577</v>
      </c>
      <c r="O35" s="59">
        <f t="shared" si="2"/>
        <v>2549.366439641726</v>
      </c>
      <c r="P35" s="59">
        <f t="shared" si="2"/>
        <v>2381.196844909001</v>
      </c>
      <c r="Q35" s="59">
        <f t="shared" si="2"/>
        <v>2284.343496625702</v>
      </c>
      <c r="R35" s="59">
        <f t="shared" si="2"/>
        <v>2443.269066857347</v>
      </c>
      <c r="S35" s="59">
        <f t="shared" si="2"/>
        <v>2846.7618007388824</v>
      </c>
      <c r="T35" s="59">
        <f t="shared" si="2"/>
        <v>2935.80569443099</v>
      </c>
    </row>
    <row r="36" spans="1:20" ht="12.75">
      <c r="A36" s="57" t="s">
        <v>34</v>
      </c>
      <c r="B36" s="57"/>
      <c r="C36" s="57"/>
      <c r="D36" s="57"/>
      <c r="E36" s="59">
        <f>E33+E13+E17+E21+E29+E30</f>
        <v>1394.8942381414938</v>
      </c>
      <c r="F36" s="59">
        <f aca="true" t="shared" si="3" ref="F36:T36">F33+F13+F17+F21+F29+F30</f>
        <v>1417.9513235566806</v>
      </c>
      <c r="G36" s="59">
        <f t="shared" si="3"/>
        <v>1420.6792786643719</v>
      </c>
      <c r="H36" s="59">
        <f t="shared" si="3"/>
        <v>1604.850632931417</v>
      </c>
      <c r="I36" s="59">
        <f t="shared" si="3"/>
        <v>1556.7169261067943</v>
      </c>
      <c r="J36" s="59">
        <f t="shared" si="3"/>
        <v>1729.805383747168</v>
      </c>
      <c r="K36" s="59">
        <f t="shared" si="3"/>
        <v>1744.2542854499482</v>
      </c>
      <c r="L36" s="59">
        <f t="shared" si="3"/>
        <v>1830.7746149227744</v>
      </c>
      <c r="M36" s="59">
        <f t="shared" si="3"/>
        <v>1988.00105663909</v>
      </c>
      <c r="N36" s="59">
        <f t="shared" si="3"/>
        <v>2096.5964848178864</v>
      </c>
      <c r="O36" s="59">
        <f t="shared" si="3"/>
        <v>2671.8329133783222</v>
      </c>
      <c r="P36" s="59">
        <f t="shared" si="3"/>
        <v>2490.089608094419</v>
      </c>
      <c r="Q36" s="59">
        <f t="shared" si="3"/>
        <v>2448.403130604844</v>
      </c>
      <c r="R36" s="59">
        <f t="shared" si="3"/>
        <v>2610.94498985909</v>
      </c>
      <c r="S36" s="59">
        <f t="shared" si="3"/>
        <v>2982.242856363989</v>
      </c>
      <c r="T36" s="59">
        <f t="shared" si="3"/>
        <v>3098.077092140085</v>
      </c>
    </row>
    <row r="37" spans="1:20" ht="12.75">
      <c r="A37" s="75" t="s">
        <v>247</v>
      </c>
      <c r="B37" s="57"/>
      <c r="C37" s="57"/>
      <c r="D37" s="57"/>
      <c r="E37" s="76">
        <f>COUNT(E4:E31)</f>
        <v>10</v>
      </c>
      <c r="F37" s="76">
        <f aca="true" t="shared" si="4" ref="F37:T37">COUNT(F4:F31)</f>
        <v>10</v>
      </c>
      <c r="G37" s="76">
        <f t="shared" si="4"/>
        <v>10</v>
      </c>
      <c r="H37" s="76">
        <f t="shared" si="4"/>
        <v>10</v>
      </c>
      <c r="I37" s="76">
        <f t="shared" si="4"/>
        <v>10</v>
      </c>
      <c r="J37" s="76">
        <f t="shared" si="4"/>
        <v>10</v>
      </c>
      <c r="K37" s="76">
        <f t="shared" si="4"/>
        <v>10</v>
      </c>
      <c r="L37" s="76">
        <f t="shared" si="4"/>
        <v>10</v>
      </c>
      <c r="M37" s="76">
        <f t="shared" si="4"/>
        <v>10</v>
      </c>
      <c r="N37" s="76">
        <f t="shared" si="4"/>
        <v>10</v>
      </c>
      <c r="O37" s="76">
        <f t="shared" si="4"/>
        <v>10</v>
      </c>
      <c r="P37" s="76">
        <f t="shared" si="4"/>
        <v>10</v>
      </c>
      <c r="Q37" s="76">
        <f t="shared" si="4"/>
        <v>10</v>
      </c>
      <c r="R37" s="76">
        <f t="shared" si="4"/>
        <v>10</v>
      </c>
      <c r="S37" s="76">
        <f t="shared" si="4"/>
        <v>10</v>
      </c>
      <c r="T37" s="76">
        <f t="shared" si="4"/>
        <v>10</v>
      </c>
    </row>
    <row r="38" ht="12.75">
      <c r="A38" t="s">
        <v>133</v>
      </c>
    </row>
    <row r="39" spans="1:18" ht="12.75">
      <c r="A39" s="19" t="s">
        <v>24</v>
      </c>
      <c r="B39" s="19"/>
      <c r="C39" s="19"/>
      <c r="D39" s="19"/>
      <c r="E39" s="19"/>
      <c r="F39" s="19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2" t="s">
        <v>25</v>
      </c>
    </row>
    <row r="41" spans="1:20" ht="12.75">
      <c r="A41" s="9" t="s">
        <v>219</v>
      </c>
      <c r="B41" s="9" t="s">
        <v>34</v>
      </c>
      <c r="E41" s="133">
        <f>SUMIF($B$4:$B$31,"Y",E$4:E$31)/E36</f>
        <v>1</v>
      </c>
      <c r="F41" s="133">
        <f aca="true" t="shared" si="5" ref="F41:T41">SUMIF($B$4:$B$31,"Y",F$4:F$31)/F36</f>
        <v>0.9999999999999997</v>
      </c>
      <c r="G41" s="133">
        <f t="shared" si="5"/>
        <v>1</v>
      </c>
      <c r="H41" s="133">
        <f t="shared" si="5"/>
        <v>1</v>
      </c>
      <c r="I41" s="133">
        <f t="shared" si="5"/>
        <v>1</v>
      </c>
      <c r="J41" s="133">
        <f t="shared" si="5"/>
        <v>1</v>
      </c>
      <c r="K41" s="133">
        <f t="shared" si="5"/>
        <v>0.9999999999999999</v>
      </c>
      <c r="L41" s="133">
        <f t="shared" si="5"/>
        <v>1</v>
      </c>
      <c r="M41" s="133">
        <f t="shared" si="5"/>
        <v>0.9999999999999999</v>
      </c>
      <c r="N41" s="133">
        <f t="shared" si="5"/>
        <v>1</v>
      </c>
      <c r="O41" s="133">
        <f t="shared" si="5"/>
        <v>1.0000000000000002</v>
      </c>
      <c r="P41" s="133">
        <f t="shared" si="5"/>
        <v>0.9999999999999998</v>
      </c>
      <c r="Q41" s="133">
        <f t="shared" si="5"/>
        <v>0.9999999999999998</v>
      </c>
      <c r="R41" s="133">
        <f t="shared" si="5"/>
        <v>1</v>
      </c>
      <c r="S41" s="133">
        <f t="shared" si="5"/>
        <v>1</v>
      </c>
      <c r="T41" s="133">
        <f t="shared" si="5"/>
        <v>1</v>
      </c>
    </row>
    <row r="42" spans="2:20" ht="12.75">
      <c r="B42" s="9" t="s">
        <v>134</v>
      </c>
      <c r="E42" s="133">
        <f>SUMIF($C$4:$C$31,"Y",E$4:E$31)/E33</f>
        <v>1</v>
      </c>
      <c r="F42" s="133">
        <f aca="true" t="shared" si="6" ref="F42:T42">SUMIF($C$4:$C$31,"Y",F$4:F$31)/F33</f>
        <v>0.9999999999999997</v>
      </c>
      <c r="G42" s="133">
        <f t="shared" si="6"/>
        <v>1</v>
      </c>
      <c r="H42" s="133">
        <f t="shared" si="6"/>
        <v>1</v>
      </c>
      <c r="I42" s="133">
        <f t="shared" si="6"/>
        <v>0.9999999999999999</v>
      </c>
      <c r="J42" s="133">
        <f t="shared" si="6"/>
        <v>0.9999999999999999</v>
      </c>
      <c r="K42" s="133">
        <f t="shared" si="6"/>
        <v>1</v>
      </c>
      <c r="L42" s="133">
        <f t="shared" si="6"/>
        <v>1</v>
      </c>
      <c r="M42" s="133">
        <f t="shared" si="6"/>
        <v>0.9999999999999999</v>
      </c>
      <c r="N42" s="133">
        <f t="shared" si="6"/>
        <v>1</v>
      </c>
      <c r="O42" s="133">
        <f t="shared" si="6"/>
        <v>1</v>
      </c>
      <c r="P42" s="133">
        <f t="shared" si="6"/>
        <v>1</v>
      </c>
      <c r="Q42" s="133">
        <f t="shared" si="6"/>
        <v>1</v>
      </c>
      <c r="R42" s="133">
        <f t="shared" si="6"/>
        <v>1.0000000000000002</v>
      </c>
      <c r="S42" s="133">
        <f t="shared" si="6"/>
        <v>0.9999999999999999</v>
      </c>
      <c r="T42" s="133">
        <f t="shared" si="6"/>
        <v>1</v>
      </c>
    </row>
    <row r="43" spans="2:20" ht="12.75">
      <c r="B43" s="9" t="s">
        <v>28</v>
      </c>
      <c r="E43" s="133">
        <f>SUMIF($D$4:$D$31,"Y",E$4:E$31)/E35</f>
        <v>1</v>
      </c>
      <c r="F43" s="133">
        <f aca="true" t="shared" si="7" ref="F43:T43">SUMIF($D$4:$D$31,"Y",F$4:F$31)/F35</f>
        <v>1</v>
      </c>
      <c r="G43" s="133">
        <f t="shared" si="7"/>
        <v>1</v>
      </c>
      <c r="H43" s="133">
        <f t="shared" si="7"/>
        <v>1</v>
      </c>
      <c r="I43" s="133">
        <f t="shared" si="7"/>
        <v>1</v>
      </c>
      <c r="J43" s="133">
        <f t="shared" si="7"/>
        <v>1</v>
      </c>
      <c r="K43" s="133">
        <f t="shared" si="7"/>
        <v>1</v>
      </c>
      <c r="L43" s="133">
        <f t="shared" si="7"/>
        <v>1</v>
      </c>
      <c r="M43" s="133">
        <f t="shared" si="7"/>
        <v>1</v>
      </c>
      <c r="N43" s="133">
        <f t="shared" si="7"/>
        <v>1</v>
      </c>
      <c r="O43" s="133">
        <f t="shared" si="7"/>
        <v>1</v>
      </c>
      <c r="P43" s="133">
        <f t="shared" si="7"/>
        <v>1</v>
      </c>
      <c r="Q43" s="133">
        <f t="shared" si="7"/>
        <v>1</v>
      </c>
      <c r="R43" s="133">
        <f t="shared" si="7"/>
        <v>1</v>
      </c>
      <c r="S43" s="133">
        <f t="shared" si="7"/>
        <v>1</v>
      </c>
      <c r="T43" s="133">
        <f t="shared" si="7"/>
        <v>1</v>
      </c>
    </row>
    <row r="46" spans="1:2" ht="12.75">
      <c r="A46" s="64" t="s">
        <v>230</v>
      </c>
      <c r="B46" s="64"/>
    </row>
    <row r="47" spans="1:20" ht="12.75">
      <c r="A47" s="141"/>
      <c r="B47" s="142"/>
      <c r="C47" s="147"/>
      <c r="D47" s="147"/>
      <c r="E47" s="143">
        <f>E3</f>
        <v>1992</v>
      </c>
      <c r="F47" s="143">
        <f aca="true" t="shared" si="8" ref="F47:T47">F3</f>
        <v>1993</v>
      </c>
      <c r="G47" s="143">
        <f t="shared" si="8"/>
        <v>1994</v>
      </c>
      <c r="H47" s="143">
        <f t="shared" si="8"/>
        <v>1995</v>
      </c>
      <c r="I47" s="143">
        <f t="shared" si="8"/>
        <v>1996</v>
      </c>
      <c r="J47" s="143">
        <f t="shared" si="8"/>
        <v>1997</v>
      </c>
      <c r="K47" s="143">
        <f t="shared" si="8"/>
        <v>1998</v>
      </c>
      <c r="L47" s="143">
        <f t="shared" si="8"/>
        <v>1999</v>
      </c>
      <c r="M47" s="143">
        <f t="shared" si="8"/>
        <v>2000</v>
      </c>
      <c r="N47" s="143">
        <f t="shared" si="8"/>
        <v>2001</v>
      </c>
      <c r="O47" s="143">
        <f t="shared" si="8"/>
        <v>2002</v>
      </c>
      <c r="P47" s="143">
        <f t="shared" si="8"/>
        <v>2003</v>
      </c>
      <c r="Q47" s="143">
        <f t="shared" si="8"/>
        <v>2004</v>
      </c>
      <c r="R47" s="143">
        <f t="shared" si="8"/>
        <v>2005</v>
      </c>
      <c r="S47" s="143">
        <f t="shared" si="8"/>
        <v>2006</v>
      </c>
      <c r="T47" s="143">
        <f t="shared" si="8"/>
        <v>2007</v>
      </c>
    </row>
    <row r="48" spans="1:20" ht="12.75">
      <c r="A48" s="141" t="s">
        <v>1</v>
      </c>
      <c r="B48" s="142"/>
      <c r="C48" s="147"/>
      <c r="D48" s="147"/>
      <c r="E48" s="148"/>
      <c r="F48" s="147"/>
      <c r="G48" s="147"/>
      <c r="H48" s="147"/>
      <c r="I48" s="147"/>
      <c r="J48" s="147"/>
      <c r="K48" s="147"/>
      <c r="L48" s="147"/>
      <c r="M48" s="147"/>
      <c r="N48" s="148">
        <v>4.978954932758444</v>
      </c>
      <c r="O48" s="148">
        <v>3.8477324030371434</v>
      </c>
      <c r="P48" s="148">
        <v>3.181118522319138</v>
      </c>
      <c r="Q48" s="148">
        <v>1.0228452486281088</v>
      </c>
      <c r="R48" s="148">
        <v>4.70388530700521</v>
      </c>
      <c r="S48" s="148">
        <v>8.334057663498362</v>
      </c>
      <c r="T48" s="148">
        <v>46.01697515083342</v>
      </c>
    </row>
    <row r="49" spans="1:21" ht="12.75">
      <c r="A49" s="141" t="s">
        <v>19</v>
      </c>
      <c r="B49" s="142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9" t="s">
        <v>231</v>
      </c>
    </row>
    <row r="50" spans="1:20" ht="12.75">
      <c r="A50" s="145" t="s">
        <v>15</v>
      </c>
      <c r="B50" s="146"/>
      <c r="C50" s="147"/>
      <c r="D50" s="147"/>
      <c r="E50" s="148">
        <v>32.881824452137515</v>
      </c>
      <c r="F50" s="148">
        <v>32.98510486907269</v>
      </c>
      <c r="G50" s="148">
        <v>37.00962250185048</v>
      </c>
      <c r="H50" s="148">
        <v>29.648320454187036</v>
      </c>
      <c r="I50" s="148">
        <v>0.8766034538176081</v>
      </c>
      <c r="J50" s="148">
        <v>2.9606104240401567</v>
      </c>
      <c r="K50" s="148">
        <v>6.893910379165071</v>
      </c>
      <c r="L50" s="148">
        <v>10.172698744746274</v>
      </c>
      <c r="M50" s="148">
        <v>11.268985791278785</v>
      </c>
      <c r="N50" s="148">
        <v>11.709920753792108</v>
      </c>
      <c r="O50" s="148">
        <v>10.62892103489397</v>
      </c>
      <c r="P50" s="148">
        <v>21.13828529866351</v>
      </c>
      <c r="Q50" s="148">
        <v>13.696209242732174</v>
      </c>
      <c r="R50" s="148">
        <v>9.454395064973204</v>
      </c>
      <c r="S50" s="148">
        <v>13.862424894868115</v>
      </c>
      <c r="T50" s="148">
        <v>17.434955149126207</v>
      </c>
    </row>
    <row r="51" spans="1:21" ht="12.75">
      <c r="A51" s="145" t="s">
        <v>9</v>
      </c>
      <c r="B51" s="142"/>
      <c r="C51" s="147"/>
      <c r="D51" s="147"/>
      <c r="E51" s="148">
        <v>9.213000297546387</v>
      </c>
      <c r="F51" s="148">
        <v>13.904000282287598</v>
      </c>
      <c r="G51" s="148">
        <v>23.839000701904297</v>
      </c>
      <c r="H51" s="148">
        <v>29.902999877929688</v>
      </c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9" t="s">
        <v>231</v>
      </c>
    </row>
    <row r="52" spans="1:20" ht="12.75">
      <c r="A52" s="145" t="s">
        <v>10</v>
      </c>
      <c r="B52" s="142"/>
      <c r="C52" s="147"/>
      <c r="D52" s="147"/>
      <c r="E52" s="149"/>
      <c r="F52" s="147"/>
      <c r="G52" s="147"/>
      <c r="H52" s="53">
        <v>221.1829961730544</v>
      </c>
      <c r="I52" s="53">
        <v>221.1829961730544</v>
      </c>
      <c r="J52" s="148">
        <v>221.1829961730544</v>
      </c>
      <c r="K52" s="148">
        <v>250.1200762290383</v>
      </c>
      <c r="L52" s="148">
        <v>247.09880336936482</v>
      </c>
      <c r="M52" s="148">
        <v>231.18160173942684</v>
      </c>
      <c r="N52" s="148">
        <v>272.02</v>
      </c>
      <c r="O52" s="148">
        <v>494.46000000000004</v>
      </c>
      <c r="P52" s="148">
        <v>675.72</v>
      </c>
      <c r="Q52" s="148">
        <v>1358.6</v>
      </c>
      <c r="R52" s="147"/>
      <c r="S52" s="147"/>
      <c r="T52" s="147"/>
    </row>
    <row r="53" spans="1:20" ht="12.75">
      <c r="A53" s="145" t="s">
        <v>11</v>
      </c>
      <c r="B53" s="142"/>
      <c r="C53" s="147"/>
      <c r="D53" s="147"/>
      <c r="E53" s="148"/>
      <c r="F53" s="147"/>
      <c r="G53" s="147"/>
      <c r="H53" s="147"/>
      <c r="I53" s="147"/>
      <c r="J53" s="147"/>
      <c r="K53" s="147"/>
      <c r="L53" s="147"/>
      <c r="M53" s="147"/>
      <c r="N53" s="147"/>
      <c r="O53" s="148">
        <v>46.471600688468165</v>
      </c>
      <c r="P53" s="148">
        <v>45.262993600749176</v>
      </c>
      <c r="Q53" s="148">
        <v>97.5975975975976</v>
      </c>
      <c r="R53" s="148">
        <v>61.763860959494394</v>
      </c>
      <c r="S53" s="148">
        <v>90.4912381499569</v>
      </c>
      <c r="T53" s="148">
        <v>149.38236139040504</v>
      </c>
    </row>
    <row r="54" spans="1:20" ht="12.75">
      <c r="A54" s="145" t="s">
        <v>21</v>
      </c>
      <c r="B54" s="142"/>
      <c r="C54" s="147"/>
      <c r="D54" s="147"/>
      <c r="E54" s="148"/>
      <c r="F54" s="147"/>
      <c r="G54" s="147"/>
      <c r="H54" s="147"/>
      <c r="I54" s="147"/>
      <c r="J54" s="147"/>
      <c r="K54" s="147"/>
      <c r="L54" s="147"/>
      <c r="M54" s="147"/>
      <c r="N54" s="147"/>
      <c r="O54" s="148">
        <v>31.437272816583164</v>
      </c>
      <c r="P54" s="148">
        <v>65.21119659805791</v>
      </c>
      <c r="Q54" s="148">
        <v>76.38942165426388</v>
      </c>
      <c r="R54" s="148">
        <v>37.14942024043655</v>
      </c>
      <c r="S54" s="148">
        <v>42.68035907234896</v>
      </c>
      <c r="T54" s="53">
        <v>45.147283826730735</v>
      </c>
    </row>
    <row r="55" spans="1:21" ht="12.75">
      <c r="A55" s="145" t="s">
        <v>32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8">
        <v>9.242313323572475</v>
      </c>
      <c r="O55" s="148">
        <v>28.354993397734376</v>
      </c>
      <c r="P55" s="148">
        <v>24.339689683761694</v>
      </c>
      <c r="Q55" s="148">
        <v>30.810750028111997</v>
      </c>
      <c r="R55" s="148">
        <v>44.031780551885674</v>
      </c>
      <c r="S55" s="148">
        <v>48.025961438271075</v>
      </c>
      <c r="T55" s="148">
        <v>50.74431019826655</v>
      </c>
      <c r="U55" s="63"/>
    </row>
    <row r="56" spans="1:20" ht="12.75">
      <c r="A56" s="145" t="s">
        <v>8</v>
      </c>
      <c r="B56" s="147"/>
      <c r="C56" s="147"/>
      <c r="D56" s="147"/>
      <c r="E56" s="148">
        <v>18.979779904203678</v>
      </c>
      <c r="F56" s="148">
        <v>14.466365857105366</v>
      </c>
      <c r="G56" s="148">
        <v>17.186484149723626</v>
      </c>
      <c r="H56" s="148">
        <v>18.281685251159292</v>
      </c>
      <c r="I56" s="148">
        <v>17.33962705449597</v>
      </c>
      <c r="J56" s="148">
        <v>17.428113228657743</v>
      </c>
      <c r="K56" s="148">
        <v>22.102296681455904</v>
      </c>
      <c r="L56" s="148">
        <v>30.874449339207043</v>
      </c>
      <c r="M56" s="148">
        <v>19.42991074759626</v>
      </c>
      <c r="N56" s="148">
        <v>18.64561885152139</v>
      </c>
      <c r="O56" s="148">
        <v>28.115572058482243</v>
      </c>
      <c r="P56" s="148">
        <v>14.875937680323139</v>
      </c>
      <c r="Q56" s="148">
        <v>34.404406701859074</v>
      </c>
      <c r="R56" s="148">
        <v>22.76620222421066</v>
      </c>
      <c r="S56" s="148">
        <v>34.31911176691664</v>
      </c>
      <c r="T56" s="148">
        <v>36.686528564800284</v>
      </c>
    </row>
    <row r="57" spans="1:21" ht="12.75">
      <c r="A57" s="145" t="s">
        <v>14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9" t="s">
        <v>231</v>
      </c>
    </row>
    <row r="58" spans="1:21" ht="12.75">
      <c r="A58" s="145" t="s">
        <v>17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9" t="s">
        <v>231</v>
      </c>
    </row>
  </sheetData>
  <sheetProtection/>
  <mergeCells count="1">
    <mergeCell ref="A2:R2"/>
  </mergeCells>
  <conditionalFormatting sqref="E41:T43">
    <cfRule type="cellIs" priority="1" dxfId="0" operator="not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A1:V57"/>
  <sheetViews>
    <sheetView zoomScale="90" zoomScaleNormal="90" zoomScalePageLayoutView="0" workbookViewId="0" topLeftCell="A1">
      <selection activeCell="U17" sqref="U17"/>
    </sheetView>
  </sheetViews>
  <sheetFormatPr defaultColWidth="9.140625" defaultRowHeight="12.75"/>
  <cols>
    <col min="1" max="1" width="19.00390625" style="0" customWidth="1"/>
    <col min="2" max="2" width="10.28125" style="0" customWidth="1"/>
    <col min="3" max="3" width="11.57421875" style="0" customWidth="1"/>
    <col min="4" max="4" width="11.00390625" style="0" customWidth="1"/>
    <col min="5" max="20" width="7.7109375" style="0" customWidth="1"/>
  </cols>
  <sheetData>
    <row r="1" spans="1:4" ht="30.75" customHeight="1">
      <c r="A1" s="46" t="s">
        <v>252</v>
      </c>
      <c r="B1" s="46"/>
      <c r="C1" s="46"/>
      <c r="D1" s="46"/>
    </row>
    <row r="2" spans="1:20" s="1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50"/>
      <c r="T2" s="50"/>
    </row>
    <row r="3" spans="1:20" ht="12.75">
      <c r="A3" s="47" t="s">
        <v>120</v>
      </c>
      <c r="B3" s="47" t="s">
        <v>34</v>
      </c>
      <c r="C3" s="47" t="s">
        <v>134</v>
      </c>
      <c r="D3" s="47" t="s">
        <v>28</v>
      </c>
      <c r="E3" s="69">
        <v>1992</v>
      </c>
      <c r="F3" s="69">
        <v>1993</v>
      </c>
      <c r="G3" s="69">
        <v>1994</v>
      </c>
      <c r="H3" s="69">
        <v>1995</v>
      </c>
      <c r="I3" s="69">
        <v>1996</v>
      </c>
      <c r="J3" s="69">
        <v>1997</v>
      </c>
      <c r="K3" s="69">
        <v>1998</v>
      </c>
      <c r="L3" s="69">
        <v>1999</v>
      </c>
      <c r="M3" s="69">
        <v>2000</v>
      </c>
      <c r="N3" s="69">
        <v>2001</v>
      </c>
      <c r="O3" s="69">
        <v>2002</v>
      </c>
      <c r="P3" s="69">
        <v>2003</v>
      </c>
      <c r="Q3" s="69">
        <v>2004</v>
      </c>
      <c r="R3" s="69">
        <v>2005</v>
      </c>
      <c r="S3" s="69">
        <v>2006</v>
      </c>
      <c r="T3" s="69">
        <v>2007</v>
      </c>
    </row>
    <row r="4" spans="1:21" ht="12.75">
      <c r="A4" s="50" t="s">
        <v>0</v>
      </c>
      <c r="B4" s="132" t="s">
        <v>210</v>
      </c>
      <c r="C4" s="132" t="s">
        <v>210</v>
      </c>
      <c r="D4" s="132" t="s">
        <v>210</v>
      </c>
      <c r="E4" s="51">
        <v>116.49455317107912</v>
      </c>
      <c r="F4" s="51">
        <v>118.02068268860417</v>
      </c>
      <c r="G4" s="51">
        <v>93.82062891070689</v>
      </c>
      <c r="H4" s="51">
        <v>91.68259412948845</v>
      </c>
      <c r="I4" s="51">
        <v>85.56245140004215</v>
      </c>
      <c r="J4" s="51">
        <v>79.44230867059585</v>
      </c>
      <c r="K4" s="51">
        <v>61.77263577102243</v>
      </c>
      <c r="L4" s="51">
        <v>96.47246062949209</v>
      </c>
      <c r="M4" s="51">
        <v>81.85</v>
      </c>
      <c r="N4" s="51">
        <v>81.075</v>
      </c>
      <c r="O4" s="51">
        <v>101.644</v>
      </c>
      <c r="P4" s="51">
        <v>157.683</v>
      </c>
      <c r="Q4" s="51">
        <v>240.14600000000002</v>
      </c>
      <c r="R4" s="51">
        <v>361.528</v>
      </c>
      <c r="S4" s="51">
        <v>217.075</v>
      </c>
      <c r="T4" s="124">
        <f>S4</f>
        <v>217.075</v>
      </c>
      <c r="U4" s="62"/>
    </row>
    <row r="5" spans="1:21" ht="12.75">
      <c r="A5" s="50" t="s">
        <v>1</v>
      </c>
      <c r="B5" s="132" t="s">
        <v>210</v>
      </c>
      <c r="C5" s="132" t="s">
        <v>210</v>
      </c>
      <c r="D5" s="132" t="s">
        <v>212</v>
      </c>
      <c r="E5" s="49"/>
      <c r="F5" s="49"/>
      <c r="G5" s="49"/>
      <c r="H5" s="49"/>
      <c r="I5" s="49"/>
      <c r="J5" s="49"/>
      <c r="K5" s="49"/>
      <c r="L5" s="51"/>
      <c r="M5" s="51"/>
      <c r="N5" s="51"/>
      <c r="O5" s="51"/>
      <c r="P5" s="51"/>
      <c r="Q5" s="51"/>
      <c r="R5" s="51"/>
      <c r="S5" s="51"/>
      <c r="T5" s="51"/>
      <c r="U5" s="62" t="s">
        <v>251</v>
      </c>
    </row>
    <row r="6" spans="1:21" ht="12.75">
      <c r="A6" s="50" t="s">
        <v>2</v>
      </c>
      <c r="B6" s="132" t="s">
        <v>210</v>
      </c>
      <c r="C6" s="132" t="s">
        <v>210</v>
      </c>
      <c r="D6" s="132" t="s">
        <v>212</v>
      </c>
      <c r="E6" s="124">
        <f>F6</f>
        <v>20.057985918290136</v>
      </c>
      <c r="F6" s="51">
        <v>20.057985918290136</v>
      </c>
      <c r="G6" s="51">
        <v>15.502511210902963</v>
      </c>
      <c r="H6" s="51">
        <v>73.54398699804918</v>
      </c>
      <c r="I6" s="51">
        <v>81.42919903026707</v>
      </c>
      <c r="J6" s="51">
        <v>71.67397821442412</v>
      </c>
      <c r="K6" s="51">
        <v>22.176749461191438</v>
      </c>
      <c r="L6" s="51">
        <v>16.6476872324724</v>
      </c>
      <c r="M6" s="51">
        <v>27.885425442291492</v>
      </c>
      <c r="N6" s="51">
        <v>50.412228970454485</v>
      </c>
      <c r="O6" s="51">
        <v>38.679735168116316</v>
      </c>
      <c r="P6" s="51">
        <v>51.906167566888584</v>
      </c>
      <c r="Q6" s="51">
        <v>150.55278335005013</v>
      </c>
      <c r="R6" s="51">
        <v>236.58136333109468</v>
      </c>
      <c r="S6" s="51">
        <v>71.0510531700949</v>
      </c>
      <c r="T6" s="51">
        <v>76.97640659894819</v>
      </c>
      <c r="U6" s="62"/>
    </row>
    <row r="7" spans="1:21" ht="12.75">
      <c r="A7" s="50" t="s">
        <v>3</v>
      </c>
      <c r="B7" s="132" t="s">
        <v>210</v>
      </c>
      <c r="C7" s="132" t="s">
        <v>210</v>
      </c>
      <c r="D7" s="132" t="s">
        <v>210</v>
      </c>
      <c r="E7" s="51">
        <v>20.104363415180718</v>
      </c>
      <c r="F7" s="51">
        <v>18.17322241522126</v>
      </c>
      <c r="G7" s="51">
        <v>43.61497843945458</v>
      </c>
      <c r="H7" s="51">
        <v>47.89820935873692</v>
      </c>
      <c r="I7" s="51">
        <v>21.061670744875403</v>
      </c>
      <c r="J7" s="51">
        <v>34.208088711114144</v>
      </c>
      <c r="K7" s="51">
        <v>293.09402210873014</v>
      </c>
      <c r="L7" s="51">
        <v>135.34540576794097</v>
      </c>
      <c r="M7" s="51">
        <v>118.06058654645952</v>
      </c>
      <c r="N7" s="51">
        <v>62.2643281759504</v>
      </c>
      <c r="O7" s="51">
        <v>106.04939102348429</v>
      </c>
      <c r="P7" s="51">
        <v>17.764140659695588</v>
      </c>
      <c r="Q7" s="51">
        <v>25.26915684350596</v>
      </c>
      <c r="R7" s="51">
        <v>34.219920019324185</v>
      </c>
      <c r="S7" s="51">
        <v>35.92719377123504</v>
      </c>
      <c r="T7" s="124">
        <f>S7</f>
        <v>35.92719377123504</v>
      </c>
      <c r="U7" s="62"/>
    </row>
    <row r="8" spans="1:21" ht="12.75">
      <c r="A8" s="50" t="s">
        <v>4</v>
      </c>
      <c r="B8" s="132" t="s">
        <v>210</v>
      </c>
      <c r="C8" s="132" t="s">
        <v>210</v>
      </c>
      <c r="D8" s="132" t="s">
        <v>212</v>
      </c>
      <c r="E8" s="51">
        <v>0</v>
      </c>
      <c r="F8" s="51">
        <v>1.0978791557955103</v>
      </c>
      <c r="G8" s="51">
        <v>3.3781589033976482</v>
      </c>
      <c r="H8" s="51">
        <v>1.5669629748271534</v>
      </c>
      <c r="I8" s="51">
        <v>0</v>
      </c>
      <c r="J8" s="51">
        <v>0.20957169222936425</v>
      </c>
      <c r="K8" s="51">
        <v>3.8179208920441194</v>
      </c>
      <c r="L8" s="51">
        <v>0</v>
      </c>
      <c r="M8" s="51">
        <v>0.5989160584408115</v>
      </c>
      <c r="N8" s="51">
        <v>0.9866041184666318</v>
      </c>
      <c r="O8" s="51">
        <v>0.06985543185100916</v>
      </c>
      <c r="P8" s="51">
        <v>0.29150102897754143</v>
      </c>
      <c r="Q8" s="51">
        <v>5.280252578835018</v>
      </c>
      <c r="R8" s="51">
        <v>1.015556095253921</v>
      </c>
      <c r="S8" s="51">
        <v>1.3421446192783097</v>
      </c>
      <c r="T8" s="51">
        <v>3.7707872636866795</v>
      </c>
      <c r="U8" s="62"/>
    </row>
    <row r="9" spans="1:21" ht="12.75">
      <c r="A9" s="50" t="s">
        <v>5</v>
      </c>
      <c r="B9" s="132" t="s">
        <v>210</v>
      </c>
      <c r="C9" s="132" t="s">
        <v>210</v>
      </c>
      <c r="D9" s="132" t="s">
        <v>210</v>
      </c>
      <c r="E9" s="51">
        <v>59.61925617207643</v>
      </c>
      <c r="F9" s="51">
        <v>44.19137767776202</v>
      </c>
      <c r="G9" s="51">
        <v>32.43167785957317</v>
      </c>
      <c r="H9" s="51">
        <v>50.54888129800714</v>
      </c>
      <c r="I9" s="51">
        <v>49.48425172350578</v>
      </c>
      <c r="J9" s="51">
        <v>42.88792124768531</v>
      </c>
      <c r="K9" s="51">
        <v>77.91978445035345</v>
      </c>
      <c r="L9" s="51">
        <v>96.64246442404885</v>
      </c>
      <c r="M9" s="51">
        <v>65.34437318882627</v>
      </c>
      <c r="N9" s="51">
        <v>62.514</v>
      </c>
      <c r="O9" s="51">
        <v>51.145</v>
      </c>
      <c r="P9" s="51">
        <v>43.124</v>
      </c>
      <c r="Q9" s="51">
        <v>48.182</v>
      </c>
      <c r="R9" s="51">
        <v>48.198169609999994</v>
      </c>
      <c r="S9" s="51">
        <v>60</v>
      </c>
      <c r="T9" s="51">
        <v>74</v>
      </c>
      <c r="U9" s="62"/>
    </row>
    <row r="10" spans="1:21" ht="12.75">
      <c r="A10" s="50" t="s">
        <v>6</v>
      </c>
      <c r="B10" s="132" t="s">
        <v>210</v>
      </c>
      <c r="C10" s="132" t="s">
        <v>210</v>
      </c>
      <c r="D10" s="132" t="s">
        <v>210</v>
      </c>
      <c r="E10" s="51">
        <v>703.0643776954892</v>
      </c>
      <c r="F10" s="51">
        <v>500.03277653870606</v>
      </c>
      <c r="G10" s="51">
        <v>503.06651198173057</v>
      </c>
      <c r="H10" s="51">
        <v>570.0983448610199</v>
      </c>
      <c r="I10" s="51">
        <v>572.4823425925784</v>
      </c>
      <c r="J10" s="51">
        <v>643.339426212389</v>
      </c>
      <c r="K10" s="51">
        <v>731.0692621620015</v>
      </c>
      <c r="L10" s="51">
        <v>627.6066876334881</v>
      </c>
      <c r="M10" s="51">
        <v>783.17</v>
      </c>
      <c r="N10" s="51">
        <v>820.94</v>
      </c>
      <c r="O10" s="51">
        <v>950.6598999999999</v>
      </c>
      <c r="P10" s="51">
        <v>836.6466</v>
      </c>
      <c r="Q10" s="51">
        <v>837.6</v>
      </c>
      <c r="R10" s="51">
        <v>860.2</v>
      </c>
      <c r="S10" s="51">
        <v>978</v>
      </c>
      <c r="T10" s="51">
        <v>1052.4333653101035</v>
      </c>
      <c r="U10" s="62"/>
    </row>
    <row r="11" spans="1:21" ht="12.75">
      <c r="A11" s="50" t="s">
        <v>7</v>
      </c>
      <c r="B11" s="132" t="s">
        <v>210</v>
      </c>
      <c r="C11" s="132" t="s">
        <v>210</v>
      </c>
      <c r="D11" s="132" t="s">
        <v>210</v>
      </c>
      <c r="E11" s="51">
        <v>1580</v>
      </c>
      <c r="F11" s="51">
        <v>1309</v>
      </c>
      <c r="G11" s="51">
        <v>1002</v>
      </c>
      <c r="H11" s="51">
        <v>1156</v>
      </c>
      <c r="I11" s="51">
        <v>895</v>
      </c>
      <c r="J11" s="51">
        <v>977</v>
      </c>
      <c r="K11" s="51">
        <v>1115</v>
      </c>
      <c r="L11" s="51">
        <v>1314</v>
      </c>
      <c r="M11" s="51">
        <v>1411</v>
      </c>
      <c r="N11" s="51">
        <v>1329</v>
      </c>
      <c r="O11" s="51">
        <v>1010</v>
      </c>
      <c r="P11" s="51">
        <v>1130</v>
      </c>
      <c r="Q11" s="51">
        <v>540</v>
      </c>
      <c r="R11" s="51">
        <v>700</v>
      </c>
      <c r="S11" s="51">
        <v>720</v>
      </c>
      <c r="T11" s="51">
        <v>1620</v>
      </c>
      <c r="U11" s="62"/>
    </row>
    <row r="12" spans="1:21" ht="12.75">
      <c r="A12" s="50" t="s">
        <v>30</v>
      </c>
      <c r="B12" s="132" t="s">
        <v>210</v>
      </c>
      <c r="C12" s="132" t="s">
        <v>210</v>
      </c>
      <c r="D12" s="132" t="s">
        <v>212</v>
      </c>
      <c r="E12" s="51">
        <v>20.267223098992243</v>
      </c>
      <c r="F12" s="51">
        <v>148.6132076528934</v>
      </c>
      <c r="G12" s="51">
        <v>29.689908994396898</v>
      </c>
      <c r="H12" s="51">
        <v>33.40119761256446</v>
      </c>
      <c r="I12" s="51">
        <v>29.828482768777846</v>
      </c>
      <c r="J12" s="51">
        <v>46.410649820340446</v>
      </c>
      <c r="K12" s="51">
        <v>26.67832108161491</v>
      </c>
      <c r="L12" s="51">
        <v>17.879852926342522</v>
      </c>
      <c r="M12" s="51">
        <v>26.7570412203795</v>
      </c>
      <c r="N12" s="51">
        <v>16.75225249618302</v>
      </c>
      <c r="O12" s="51">
        <v>46.91937276206939</v>
      </c>
      <c r="P12" s="51">
        <v>45.5524436905842</v>
      </c>
      <c r="Q12" s="51">
        <v>20.37110616656071</v>
      </c>
      <c r="R12" s="51">
        <v>115.06551098568836</v>
      </c>
      <c r="S12" s="51">
        <v>9.225413402959095</v>
      </c>
      <c r="T12" s="51">
        <v>2.479009987664637</v>
      </c>
      <c r="U12" s="62"/>
    </row>
    <row r="13" spans="1:21" ht="12.75">
      <c r="A13" s="50" t="s">
        <v>8</v>
      </c>
      <c r="B13" s="132" t="s">
        <v>210</v>
      </c>
      <c r="C13" s="132" t="s">
        <v>212</v>
      </c>
      <c r="D13" s="132" t="s">
        <v>212</v>
      </c>
      <c r="E13" s="72"/>
      <c r="F13" s="72"/>
      <c r="G13" s="72"/>
      <c r="H13" s="72"/>
      <c r="I13" s="72"/>
      <c r="J13" s="72"/>
      <c r="K13" s="51"/>
      <c r="L13" s="51"/>
      <c r="M13" s="51"/>
      <c r="N13" s="51"/>
      <c r="O13" s="51"/>
      <c r="P13" s="51"/>
      <c r="Q13" s="51"/>
      <c r="R13" s="51"/>
      <c r="S13" s="51"/>
      <c r="T13" s="49"/>
      <c r="U13" s="62" t="s">
        <v>251</v>
      </c>
    </row>
    <row r="14" spans="1:21" ht="12.75">
      <c r="A14" s="50" t="s">
        <v>9</v>
      </c>
      <c r="B14" s="132" t="s">
        <v>210</v>
      </c>
      <c r="C14" s="132" t="s">
        <v>210</v>
      </c>
      <c r="D14" s="132" t="s">
        <v>210</v>
      </c>
      <c r="E14" s="51"/>
      <c r="F14" s="51"/>
      <c r="G14" s="72"/>
      <c r="H14" s="72"/>
      <c r="I14" s="72"/>
      <c r="J14" s="72"/>
      <c r="K14" s="72"/>
      <c r="L14" s="72"/>
      <c r="M14" s="72"/>
      <c r="N14" s="51"/>
      <c r="O14" s="51"/>
      <c r="P14" s="51"/>
      <c r="Q14" s="51"/>
      <c r="R14" s="51"/>
      <c r="S14" s="51"/>
      <c r="T14" s="51"/>
      <c r="U14" s="62" t="s">
        <v>251</v>
      </c>
    </row>
    <row r="15" spans="1:21" ht="12.75">
      <c r="A15" s="50" t="s">
        <v>10</v>
      </c>
      <c r="B15" s="132" t="s">
        <v>210</v>
      </c>
      <c r="C15" s="132" t="s">
        <v>210</v>
      </c>
      <c r="D15" s="132" t="s">
        <v>210</v>
      </c>
      <c r="E15" s="49"/>
      <c r="F15" s="49"/>
      <c r="G15" s="49"/>
      <c r="H15" s="55"/>
      <c r="I15" s="55"/>
      <c r="J15" s="55"/>
      <c r="K15" s="51"/>
      <c r="L15" s="51"/>
      <c r="M15" s="51"/>
      <c r="N15" s="51"/>
      <c r="O15" s="51"/>
      <c r="P15" s="51"/>
      <c r="Q15" s="51"/>
      <c r="R15" s="49"/>
      <c r="S15" s="51"/>
      <c r="T15" s="51"/>
      <c r="U15" s="62" t="s">
        <v>251</v>
      </c>
    </row>
    <row r="16" spans="1:21" ht="12.75">
      <c r="A16" s="50" t="s">
        <v>11</v>
      </c>
      <c r="B16" s="132" t="s">
        <v>210</v>
      </c>
      <c r="C16" s="132" t="s">
        <v>210</v>
      </c>
      <c r="D16" s="132" t="s">
        <v>212</v>
      </c>
      <c r="E16" s="72"/>
      <c r="F16" s="72"/>
      <c r="G16" s="72"/>
      <c r="H16" s="72"/>
      <c r="I16" s="72"/>
      <c r="J16" s="72"/>
      <c r="K16" s="72"/>
      <c r="L16" s="72"/>
      <c r="M16" s="51"/>
      <c r="N16" s="51"/>
      <c r="O16" s="51"/>
      <c r="P16" s="51"/>
      <c r="Q16" s="51"/>
      <c r="R16" s="51"/>
      <c r="S16" s="51"/>
      <c r="T16" s="51"/>
      <c r="U16" s="62" t="s">
        <v>251</v>
      </c>
    </row>
    <row r="17" spans="1:21" ht="12.75">
      <c r="A17" s="50" t="s">
        <v>12</v>
      </c>
      <c r="B17" s="132" t="s">
        <v>210</v>
      </c>
      <c r="C17" s="132" t="s">
        <v>212</v>
      </c>
      <c r="D17" s="132" t="s">
        <v>212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62" t="s">
        <v>264</v>
      </c>
    </row>
    <row r="18" spans="1:21" ht="12.75">
      <c r="A18" s="50" t="s">
        <v>13</v>
      </c>
      <c r="B18" s="132" t="s">
        <v>210</v>
      </c>
      <c r="C18" s="132" t="s">
        <v>210</v>
      </c>
      <c r="D18" s="132" t="s">
        <v>212</v>
      </c>
      <c r="E18" s="51">
        <v>0</v>
      </c>
      <c r="F18" s="51">
        <v>2.7305861029090868</v>
      </c>
      <c r="G18" s="51">
        <v>8.072850236572432</v>
      </c>
      <c r="H18" s="51">
        <v>18.67160039831728</v>
      </c>
      <c r="I18" s="51">
        <v>5.316017554671302</v>
      </c>
      <c r="J18" s="51">
        <v>2.6454151648424324</v>
      </c>
      <c r="K18" s="51">
        <v>6.020912636557643</v>
      </c>
      <c r="L18" s="51">
        <v>1.6416125325391056</v>
      </c>
      <c r="M18" s="51">
        <v>1.3531067330591038</v>
      </c>
      <c r="N18" s="51">
        <v>1.3957513329425228</v>
      </c>
      <c r="O18" s="51">
        <v>0.5781349366942244</v>
      </c>
      <c r="P18" s="51">
        <v>4.634054508066151</v>
      </c>
      <c r="Q18" s="51">
        <v>2.8961163080309307</v>
      </c>
      <c r="R18" s="51">
        <v>4.344300278035218</v>
      </c>
      <c r="S18" s="51">
        <v>18.246061167747914</v>
      </c>
      <c r="T18" s="51">
        <v>53.29008341056534</v>
      </c>
      <c r="U18" s="62"/>
    </row>
    <row r="19" spans="1:21" ht="12.75">
      <c r="A19" s="50" t="s">
        <v>121</v>
      </c>
      <c r="B19" s="132" t="s">
        <v>210</v>
      </c>
      <c r="C19" s="132" t="s">
        <v>210</v>
      </c>
      <c r="D19" s="132" t="s">
        <v>210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62" t="s">
        <v>231</v>
      </c>
    </row>
    <row r="20" spans="1:21" ht="12.75">
      <c r="A20" s="50" t="s">
        <v>14</v>
      </c>
      <c r="B20" s="132" t="s">
        <v>210</v>
      </c>
      <c r="C20" s="132" t="s">
        <v>210</v>
      </c>
      <c r="D20" s="132" t="s">
        <v>212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62"/>
    </row>
    <row r="21" spans="1:21" ht="12.75">
      <c r="A21" s="50" t="s">
        <v>31</v>
      </c>
      <c r="B21" s="132" t="s">
        <v>210</v>
      </c>
      <c r="C21" s="132" t="s">
        <v>212</v>
      </c>
      <c r="D21" s="132" t="s">
        <v>212</v>
      </c>
      <c r="E21" s="51">
        <v>87.54291654697909</v>
      </c>
      <c r="F21" s="51">
        <v>82.67605667702423</v>
      </c>
      <c r="G21" s="51">
        <v>69.85742032357417</v>
      </c>
      <c r="H21" s="51">
        <v>70.48245481700509</v>
      </c>
      <c r="I21" s="51">
        <v>62.09899482589711</v>
      </c>
      <c r="J21" s="51">
        <v>81.31085063371332</v>
      </c>
      <c r="K21" s="51">
        <v>76.04518458134389</v>
      </c>
      <c r="L21" s="51">
        <v>71.83769734308818</v>
      </c>
      <c r="M21" s="51">
        <v>72.4915518986499</v>
      </c>
      <c r="N21" s="51">
        <v>0</v>
      </c>
      <c r="O21" s="51">
        <v>112.93716538369335</v>
      </c>
      <c r="P21" s="51">
        <v>78.46763210175803</v>
      </c>
      <c r="Q21" s="51">
        <v>119.2396382188131</v>
      </c>
      <c r="R21" s="51">
        <v>44.34457123331714</v>
      </c>
      <c r="S21" s="51">
        <v>156.98541745390958</v>
      </c>
      <c r="T21" s="124">
        <f>S21</f>
        <v>156.98541745390958</v>
      </c>
      <c r="U21" s="62"/>
    </row>
    <row r="22" spans="1:21" ht="12.75">
      <c r="A22" s="50" t="s">
        <v>15</v>
      </c>
      <c r="B22" s="132" t="s">
        <v>210</v>
      </c>
      <c r="C22" s="132" t="s">
        <v>210</v>
      </c>
      <c r="D22" s="132" t="s">
        <v>212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62" t="s">
        <v>251</v>
      </c>
    </row>
    <row r="23" spans="1:21" ht="12.75">
      <c r="A23" s="50" t="s">
        <v>16</v>
      </c>
      <c r="B23" s="132" t="s">
        <v>210</v>
      </c>
      <c r="C23" s="132" t="s">
        <v>210</v>
      </c>
      <c r="D23" s="132" t="s">
        <v>210</v>
      </c>
      <c r="E23" s="51">
        <v>44.097</v>
      </c>
      <c r="F23" s="51">
        <v>41.438</v>
      </c>
      <c r="G23" s="51">
        <v>52.9855</v>
      </c>
      <c r="H23" s="51">
        <v>66.9045</v>
      </c>
      <c r="I23" s="51">
        <v>95.0578</v>
      </c>
      <c r="J23" s="51">
        <v>128.0618</v>
      </c>
      <c r="K23" s="51">
        <v>184.8632</v>
      </c>
      <c r="L23" s="51">
        <v>135.4204</v>
      </c>
      <c r="M23" s="51">
        <v>168.3965</v>
      </c>
      <c r="N23" s="51">
        <v>182.1522</v>
      </c>
      <c r="O23" s="51">
        <v>124.63310000000001</v>
      </c>
      <c r="P23" s="51">
        <v>98.9662</v>
      </c>
      <c r="Q23" s="51">
        <v>183.645</v>
      </c>
      <c r="R23" s="51">
        <v>144.288</v>
      </c>
      <c r="S23" s="51">
        <v>106.5702</v>
      </c>
      <c r="T23" s="51">
        <v>93.2163</v>
      </c>
      <c r="U23" s="62"/>
    </row>
    <row r="24" spans="1:21" ht="12.75">
      <c r="A24" s="50" t="s">
        <v>17</v>
      </c>
      <c r="B24" s="132" t="s">
        <v>210</v>
      </c>
      <c r="C24" s="132" t="s">
        <v>210</v>
      </c>
      <c r="D24" s="132" t="s">
        <v>212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62" t="s">
        <v>251</v>
      </c>
    </row>
    <row r="25" spans="1:21" ht="12.75">
      <c r="A25" s="50" t="s">
        <v>18</v>
      </c>
      <c r="B25" s="132" t="s">
        <v>210</v>
      </c>
      <c r="C25" s="132" t="s">
        <v>210</v>
      </c>
      <c r="D25" s="132" t="s">
        <v>212</v>
      </c>
      <c r="E25" s="51">
        <v>9.352875384730668</v>
      </c>
      <c r="F25" s="51">
        <v>4.218507591925999</v>
      </c>
      <c r="G25" s="51">
        <v>5.79775272902464</v>
      </c>
      <c r="H25" s="51">
        <v>4.271206152595273</v>
      </c>
      <c r="I25" s="51">
        <v>4.830061480516611</v>
      </c>
      <c r="J25" s="51">
        <v>5.562421122507077</v>
      </c>
      <c r="K25" s="51">
        <v>5.386813687059003</v>
      </c>
      <c r="L25" s="51">
        <v>4.883563192403346</v>
      </c>
      <c r="M25" s="51">
        <v>3.567907609971363</v>
      </c>
      <c r="N25" s="51">
        <v>4.018475750577368</v>
      </c>
      <c r="O25" s="51">
        <v>3.0683468403054293</v>
      </c>
      <c r="P25" s="51">
        <v>5.543638072742173</v>
      </c>
      <c r="Q25" s="51">
        <v>11.368747189046026</v>
      </c>
      <c r="R25" s="51">
        <v>32.221301456604856</v>
      </c>
      <c r="S25" s="51">
        <v>13.5144465667905</v>
      </c>
      <c r="T25" s="51">
        <v>16.13686743559054</v>
      </c>
      <c r="U25" s="62"/>
    </row>
    <row r="26" spans="1:21" ht="12.75">
      <c r="A26" s="50" t="s">
        <v>19</v>
      </c>
      <c r="B26" s="132" t="s">
        <v>210</v>
      </c>
      <c r="C26" s="132" t="s">
        <v>210</v>
      </c>
      <c r="D26" s="132" t="s">
        <v>212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62" t="s">
        <v>251</v>
      </c>
    </row>
    <row r="27" spans="1:21" ht="12.75">
      <c r="A27" s="50" t="s">
        <v>20</v>
      </c>
      <c r="B27" s="132" t="s">
        <v>210</v>
      </c>
      <c r="C27" s="132" t="s">
        <v>210</v>
      </c>
      <c r="D27" s="132" t="s">
        <v>210</v>
      </c>
      <c r="E27" s="51">
        <v>153.7388963013715</v>
      </c>
      <c r="F27" s="51">
        <v>142.23552462346592</v>
      </c>
      <c r="G27" s="51">
        <v>304.97157212746265</v>
      </c>
      <c r="H27" s="51">
        <v>457.7308186986886</v>
      </c>
      <c r="I27" s="51">
        <v>366.5092014953181</v>
      </c>
      <c r="J27" s="51">
        <v>459.1672376281658</v>
      </c>
      <c r="K27" s="51">
        <v>450.38044066207493</v>
      </c>
      <c r="L27" s="51">
        <v>421.33352565720674</v>
      </c>
      <c r="M27" s="51">
        <v>460.07</v>
      </c>
      <c r="N27" s="51">
        <v>871.56</v>
      </c>
      <c r="O27" s="51">
        <v>1220.41</v>
      </c>
      <c r="P27" s="51">
        <v>2029.62</v>
      </c>
      <c r="Q27" s="51">
        <v>1874.12</v>
      </c>
      <c r="R27" s="51">
        <v>1343.47</v>
      </c>
      <c r="S27" s="51">
        <v>1658</v>
      </c>
      <c r="T27" s="51">
        <v>2013</v>
      </c>
      <c r="U27" s="62"/>
    </row>
    <row r="28" spans="1:21" ht="12.75">
      <c r="A28" s="50" t="s">
        <v>21</v>
      </c>
      <c r="B28" s="132" t="s">
        <v>210</v>
      </c>
      <c r="C28" s="132" t="s">
        <v>210</v>
      </c>
      <c r="D28" s="132" t="s">
        <v>210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62" t="s">
        <v>251</v>
      </c>
    </row>
    <row r="29" spans="1:21" ht="12.75">
      <c r="A29" s="50" t="s">
        <v>22</v>
      </c>
      <c r="B29" s="132" t="s">
        <v>210</v>
      </c>
      <c r="C29" s="132" t="s">
        <v>212</v>
      </c>
      <c r="D29" s="132" t="s">
        <v>212</v>
      </c>
      <c r="E29" s="51">
        <v>59.413783997887506</v>
      </c>
      <c r="F29" s="51">
        <v>71.66842947884336</v>
      </c>
      <c r="G29" s="51">
        <v>88.81871361196775</v>
      </c>
      <c r="H29" s="51">
        <v>130.68174466598524</v>
      </c>
      <c r="I29" s="51">
        <v>148.61589061761026</v>
      </c>
      <c r="J29" s="51">
        <v>124.69585969618164</v>
      </c>
      <c r="K29" s="51">
        <v>131.31936051491357</v>
      </c>
      <c r="L29" s="51">
        <v>193.08880135104457</v>
      </c>
      <c r="M29" s="51">
        <v>410.9677080071256</v>
      </c>
      <c r="N29" s="51">
        <v>500.4965243296922</v>
      </c>
      <c r="O29" s="51">
        <v>421.949556918882</v>
      </c>
      <c r="P29" s="51">
        <v>249.80278727320535</v>
      </c>
      <c r="Q29" s="51">
        <v>158.6993133825625</v>
      </c>
      <c r="R29" s="51">
        <v>103.97323872218769</v>
      </c>
      <c r="S29" s="51">
        <v>0</v>
      </c>
      <c r="T29" s="51">
        <v>0</v>
      </c>
      <c r="U29" s="62"/>
    </row>
    <row r="30" spans="1:21" ht="12.75">
      <c r="A30" s="50" t="s">
        <v>32</v>
      </c>
      <c r="B30" s="132" t="s">
        <v>210</v>
      </c>
      <c r="C30" s="132" t="s">
        <v>212</v>
      </c>
      <c r="D30" s="132" t="s">
        <v>212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62" t="s">
        <v>251</v>
      </c>
    </row>
    <row r="31" spans="1:20" ht="12.75">
      <c r="A31" s="50" t="s">
        <v>122</v>
      </c>
      <c r="B31" s="132" t="s">
        <v>210</v>
      </c>
      <c r="C31" s="132" t="s">
        <v>210</v>
      </c>
      <c r="D31" s="132" t="s">
        <v>210</v>
      </c>
      <c r="E31" s="51">
        <v>585.643597912289</v>
      </c>
      <c r="F31" s="51">
        <v>646.1637871351867</v>
      </c>
      <c r="G31" s="51">
        <v>823.5576426303872</v>
      </c>
      <c r="H31" s="51">
        <v>703.435980683466</v>
      </c>
      <c r="I31" s="51">
        <v>779.0630991195146</v>
      </c>
      <c r="J31" s="51">
        <v>1128.1171030330436</v>
      </c>
      <c r="K31" s="51">
        <v>876.6191286144184</v>
      </c>
      <c r="L31" s="51">
        <v>1021.6473874366214</v>
      </c>
      <c r="M31" s="51">
        <v>1196.1015948021263</v>
      </c>
      <c r="N31" s="51">
        <v>1104.7325003618118</v>
      </c>
      <c r="O31" s="51">
        <v>1358.0776998552867</v>
      </c>
      <c r="P31" s="51">
        <v>2085.290249859102</v>
      </c>
      <c r="Q31" s="51">
        <v>2202.870362184304</v>
      </c>
      <c r="R31" s="51">
        <v>2602.044029930376</v>
      </c>
      <c r="S31" s="73">
        <v>2645.498165230213</v>
      </c>
      <c r="T31" s="124">
        <f>S31</f>
        <v>2645.498165230213</v>
      </c>
    </row>
    <row r="32" spans="1:22" ht="12.75">
      <c r="A32" s="50"/>
      <c r="B32" s="50"/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5"/>
      <c r="T32" s="49"/>
      <c r="U32" s="1"/>
      <c r="V32" s="1"/>
    </row>
    <row r="33" spans="1:20" ht="12.75">
      <c r="A33" s="57" t="s">
        <v>134</v>
      </c>
      <c r="B33" s="57"/>
      <c r="C33" s="57"/>
      <c r="D33" s="57"/>
      <c r="E33" s="59">
        <f>E34+E35</f>
        <v>3312.440129069499</v>
      </c>
      <c r="F33" s="59">
        <f aca="true" t="shared" si="0" ref="F33:T33">F34+F35</f>
        <v>2995.973537500761</v>
      </c>
      <c r="G33" s="59">
        <f t="shared" si="0"/>
        <v>2918.8896940236095</v>
      </c>
      <c r="H33" s="59">
        <f t="shared" si="0"/>
        <v>3275.75428316576</v>
      </c>
      <c r="I33" s="59">
        <f t="shared" si="0"/>
        <v>2985.624577910067</v>
      </c>
      <c r="J33" s="59">
        <f t="shared" si="0"/>
        <v>3618.725921517337</v>
      </c>
      <c r="K33" s="59">
        <f t="shared" si="0"/>
        <v>3854.7991915270673</v>
      </c>
      <c r="L33" s="59">
        <f t="shared" si="0"/>
        <v>3889.5210474325554</v>
      </c>
      <c r="M33" s="59">
        <f t="shared" si="0"/>
        <v>4344.155451601554</v>
      </c>
      <c r="N33" s="59">
        <f t="shared" si="0"/>
        <v>4587.803341206386</v>
      </c>
      <c r="O33" s="59">
        <f t="shared" si="0"/>
        <v>5011.934536017807</v>
      </c>
      <c r="P33" s="59">
        <f t="shared" si="0"/>
        <v>6507.021995386056</v>
      </c>
      <c r="Q33" s="59">
        <f t="shared" si="0"/>
        <v>6142.301524620333</v>
      </c>
      <c r="R33" s="59">
        <f t="shared" si="0"/>
        <v>6483.176151706377</v>
      </c>
      <c r="S33" s="59">
        <f t="shared" si="0"/>
        <v>6534.449677928318</v>
      </c>
      <c r="T33" s="59">
        <f t="shared" si="0"/>
        <v>7903.803179008007</v>
      </c>
    </row>
    <row r="34" spans="1:20" ht="12.75">
      <c r="A34" s="57" t="s">
        <v>132</v>
      </c>
      <c r="B34" s="57"/>
      <c r="C34" s="57"/>
      <c r="D34" s="57"/>
      <c r="E34" s="59">
        <f>E5+E6+E8+E12+E16+E18+E20+E22+E24+E25+E26</f>
        <v>49.67808440201304</v>
      </c>
      <c r="F34" s="59">
        <f aca="true" t="shared" si="1" ref="F34:T34">F5+F6+F8+F12+F16+F18+F20+F22+F24+F25+F26</f>
        <v>176.71816642181415</v>
      </c>
      <c r="G34" s="59">
        <f t="shared" si="1"/>
        <v>62.441182074294574</v>
      </c>
      <c r="H34" s="59">
        <f t="shared" si="1"/>
        <v>131.45495413635334</v>
      </c>
      <c r="I34" s="59">
        <f t="shared" si="1"/>
        <v>121.40376083423283</v>
      </c>
      <c r="J34" s="59">
        <f t="shared" si="1"/>
        <v>126.50203601434343</v>
      </c>
      <c r="K34" s="59">
        <f t="shared" si="1"/>
        <v>64.08071775846712</v>
      </c>
      <c r="L34" s="59">
        <f t="shared" si="1"/>
        <v>41.05271588375737</v>
      </c>
      <c r="M34" s="59">
        <f t="shared" si="1"/>
        <v>60.162397064142276</v>
      </c>
      <c r="N34" s="59">
        <f t="shared" si="1"/>
        <v>73.56531266862403</v>
      </c>
      <c r="O34" s="59">
        <f t="shared" si="1"/>
        <v>89.31544513903637</v>
      </c>
      <c r="P34" s="59">
        <f t="shared" si="1"/>
        <v>107.92780486725866</v>
      </c>
      <c r="Q34" s="59">
        <f t="shared" si="1"/>
        <v>190.46900559252282</v>
      </c>
      <c r="R34" s="59">
        <f t="shared" si="1"/>
        <v>389.22803214667704</v>
      </c>
      <c r="S34" s="59">
        <f t="shared" si="1"/>
        <v>113.37911892687072</v>
      </c>
      <c r="T34" s="59">
        <f t="shared" si="1"/>
        <v>152.6531546964554</v>
      </c>
    </row>
    <row r="35" spans="1:20" ht="12.75">
      <c r="A35" s="57" t="s">
        <v>28</v>
      </c>
      <c r="B35" s="57"/>
      <c r="C35" s="57"/>
      <c r="D35" s="57"/>
      <c r="E35" s="59">
        <f>E4+E7+E9+E10+E11+E14+E15+E19+E23+E27+E28+E31</f>
        <v>3262.762044667486</v>
      </c>
      <c r="F35" s="59">
        <f aca="true" t="shared" si="2" ref="F35:T35">F4+F7+F9+F10+F11+F14+F15+F19+F23+F27+F28+F31</f>
        <v>2819.2553710789466</v>
      </c>
      <c r="G35" s="59">
        <f t="shared" si="2"/>
        <v>2856.448511949315</v>
      </c>
      <c r="H35" s="59">
        <f t="shared" si="2"/>
        <v>3144.2993290294066</v>
      </c>
      <c r="I35" s="59">
        <f t="shared" si="2"/>
        <v>2864.220817075834</v>
      </c>
      <c r="J35" s="59">
        <f t="shared" si="2"/>
        <v>3492.2238855029937</v>
      </c>
      <c r="K35" s="59">
        <f t="shared" si="2"/>
        <v>3790.7184737686002</v>
      </c>
      <c r="L35" s="59">
        <f t="shared" si="2"/>
        <v>3848.4683315487982</v>
      </c>
      <c r="M35" s="59">
        <f t="shared" si="2"/>
        <v>4283.993054537412</v>
      </c>
      <c r="N35" s="59">
        <f t="shared" si="2"/>
        <v>4514.238028537762</v>
      </c>
      <c r="O35" s="59">
        <f t="shared" si="2"/>
        <v>4922.61909087877</v>
      </c>
      <c r="P35" s="59">
        <f t="shared" si="2"/>
        <v>6399.094190518797</v>
      </c>
      <c r="Q35" s="59">
        <f t="shared" si="2"/>
        <v>5951.83251902781</v>
      </c>
      <c r="R35" s="59">
        <f t="shared" si="2"/>
        <v>6093.9481195597</v>
      </c>
      <c r="S35" s="59">
        <f t="shared" si="2"/>
        <v>6421.070559001448</v>
      </c>
      <c r="T35" s="59">
        <f t="shared" si="2"/>
        <v>7751.1500243115515</v>
      </c>
    </row>
    <row r="36" spans="1:20" ht="12.75">
      <c r="A36" s="57" t="s">
        <v>34</v>
      </c>
      <c r="B36" s="57"/>
      <c r="C36" s="57"/>
      <c r="D36" s="57"/>
      <c r="E36" s="59">
        <f>E33+E13+E17+E21+E29+E30</f>
        <v>3459.3968296143657</v>
      </c>
      <c r="F36" s="59">
        <f aca="true" t="shared" si="3" ref="F36:T36">F33+F13+F17+F21+F29+F30</f>
        <v>3150.318023656628</v>
      </c>
      <c r="G36" s="59">
        <f t="shared" si="3"/>
        <v>3077.5658279591516</v>
      </c>
      <c r="H36" s="59">
        <f t="shared" si="3"/>
        <v>3476.9184826487503</v>
      </c>
      <c r="I36" s="59">
        <f t="shared" si="3"/>
        <v>3196.339463353574</v>
      </c>
      <c r="J36" s="59">
        <f t="shared" si="3"/>
        <v>3824.7326318472324</v>
      </c>
      <c r="K36" s="59">
        <f t="shared" si="3"/>
        <v>4062.163736623325</v>
      </c>
      <c r="L36" s="59">
        <f t="shared" si="3"/>
        <v>4154.447546126688</v>
      </c>
      <c r="M36" s="59">
        <f t="shared" si="3"/>
        <v>4827.61471150733</v>
      </c>
      <c r="N36" s="59">
        <f t="shared" si="3"/>
        <v>5088.299865536078</v>
      </c>
      <c r="O36" s="59">
        <f t="shared" si="3"/>
        <v>5546.821258320382</v>
      </c>
      <c r="P36" s="59">
        <f t="shared" si="3"/>
        <v>6835.292414761019</v>
      </c>
      <c r="Q36" s="59">
        <f t="shared" si="3"/>
        <v>6420.240476221709</v>
      </c>
      <c r="R36" s="59">
        <f t="shared" si="3"/>
        <v>6631.493961661881</v>
      </c>
      <c r="S36" s="59">
        <f t="shared" si="3"/>
        <v>6691.435095382228</v>
      </c>
      <c r="T36" s="59">
        <f t="shared" si="3"/>
        <v>8060.788596461916</v>
      </c>
    </row>
    <row r="37" spans="1:20" ht="12.75">
      <c r="A37" s="75" t="s">
        <v>247</v>
      </c>
      <c r="B37" s="57"/>
      <c r="C37" s="57"/>
      <c r="D37" s="57"/>
      <c r="E37" s="76">
        <f>COUNT(E4:E31)</f>
        <v>15</v>
      </c>
      <c r="F37" s="76">
        <f aca="true" t="shared" si="4" ref="F37:T37">COUNT(F4:F31)</f>
        <v>15</v>
      </c>
      <c r="G37" s="76">
        <f t="shared" si="4"/>
        <v>15</v>
      </c>
      <c r="H37" s="76">
        <f t="shared" si="4"/>
        <v>15</v>
      </c>
      <c r="I37" s="76">
        <f t="shared" si="4"/>
        <v>15</v>
      </c>
      <c r="J37" s="76">
        <f t="shared" si="4"/>
        <v>15</v>
      </c>
      <c r="K37" s="76">
        <f t="shared" si="4"/>
        <v>15</v>
      </c>
      <c r="L37" s="76">
        <f t="shared" si="4"/>
        <v>15</v>
      </c>
      <c r="M37" s="76">
        <f t="shared" si="4"/>
        <v>15</v>
      </c>
      <c r="N37" s="76">
        <f t="shared" si="4"/>
        <v>15</v>
      </c>
      <c r="O37" s="76">
        <f t="shared" si="4"/>
        <v>15</v>
      </c>
      <c r="P37" s="76">
        <f t="shared" si="4"/>
        <v>15</v>
      </c>
      <c r="Q37" s="76">
        <f t="shared" si="4"/>
        <v>15</v>
      </c>
      <c r="R37" s="76">
        <f t="shared" si="4"/>
        <v>15</v>
      </c>
      <c r="S37" s="76">
        <f t="shared" si="4"/>
        <v>15</v>
      </c>
      <c r="T37" s="76">
        <f t="shared" si="4"/>
        <v>15</v>
      </c>
    </row>
    <row r="38" spans="1:20" ht="12.75">
      <c r="A38" s="62" t="s">
        <v>133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40" spans="1:20" ht="12.75">
      <c r="A40" s="9" t="s">
        <v>219</v>
      </c>
      <c r="B40" s="9" t="s">
        <v>34</v>
      </c>
      <c r="E40" s="133">
        <f>SUMIF($B$4:$B$31,"Y",E$4:E$31)/E36</f>
        <v>1.0000000000000002</v>
      </c>
      <c r="F40" s="133">
        <f aca="true" t="shared" si="5" ref="F40:T40">SUMIF($B$4:$B$31,"Y",F$4:F$31)/F36</f>
        <v>1.0000000000000002</v>
      </c>
      <c r="G40" s="133">
        <f t="shared" si="5"/>
        <v>1.0000000000000002</v>
      </c>
      <c r="H40" s="133">
        <f t="shared" si="5"/>
        <v>1</v>
      </c>
      <c r="I40" s="133">
        <f t="shared" si="5"/>
        <v>1.0000000000000002</v>
      </c>
      <c r="J40" s="133">
        <f t="shared" si="5"/>
        <v>1</v>
      </c>
      <c r="K40" s="133">
        <f t="shared" si="5"/>
        <v>1.0000000000000002</v>
      </c>
      <c r="L40" s="133">
        <f t="shared" si="5"/>
        <v>1</v>
      </c>
      <c r="M40" s="133">
        <f t="shared" si="5"/>
        <v>1</v>
      </c>
      <c r="N40" s="133">
        <f t="shared" si="5"/>
        <v>1</v>
      </c>
      <c r="O40" s="133">
        <f t="shared" si="5"/>
        <v>1.0000000000000002</v>
      </c>
      <c r="P40" s="133">
        <f t="shared" si="5"/>
        <v>1.0000000000000002</v>
      </c>
      <c r="Q40" s="133">
        <f t="shared" si="5"/>
        <v>1</v>
      </c>
      <c r="R40" s="133">
        <f t="shared" si="5"/>
        <v>1</v>
      </c>
      <c r="S40" s="133">
        <f t="shared" si="5"/>
        <v>1.0000000000000002</v>
      </c>
      <c r="T40" s="133">
        <f t="shared" si="5"/>
        <v>1</v>
      </c>
    </row>
    <row r="41" spans="2:20" ht="12.75">
      <c r="B41" s="9" t="s">
        <v>134</v>
      </c>
      <c r="E41" s="133">
        <f>SUMIF($C$4:$C$31,"Y",E$4:E$31)/E33</f>
        <v>1.0000000000000002</v>
      </c>
      <c r="F41" s="133">
        <f aca="true" t="shared" si="6" ref="F41:T41">SUMIF($C$4:$C$31,"Y",F$4:F$31)/F33</f>
        <v>1</v>
      </c>
      <c r="G41" s="133">
        <f t="shared" si="6"/>
        <v>1.0000000000000002</v>
      </c>
      <c r="H41" s="133">
        <f t="shared" si="6"/>
        <v>0.9999999999999999</v>
      </c>
      <c r="I41" s="133">
        <f t="shared" si="6"/>
        <v>1.0000000000000002</v>
      </c>
      <c r="J41" s="133">
        <f t="shared" si="6"/>
        <v>1</v>
      </c>
      <c r="K41" s="133">
        <f t="shared" si="6"/>
        <v>1.0000000000000002</v>
      </c>
      <c r="L41" s="133">
        <f t="shared" si="6"/>
        <v>1.0000000000000002</v>
      </c>
      <c r="M41" s="133">
        <f t="shared" si="6"/>
        <v>1.0000000000000002</v>
      </c>
      <c r="N41" s="133">
        <f t="shared" si="6"/>
        <v>1</v>
      </c>
      <c r="O41" s="133">
        <f t="shared" si="6"/>
        <v>1.0000000000000002</v>
      </c>
      <c r="P41" s="133">
        <f t="shared" si="6"/>
        <v>1.0000000000000002</v>
      </c>
      <c r="Q41" s="133">
        <f t="shared" si="6"/>
        <v>1.0000000000000002</v>
      </c>
      <c r="R41" s="133">
        <f t="shared" si="6"/>
        <v>1</v>
      </c>
      <c r="S41" s="133">
        <f t="shared" si="6"/>
        <v>1</v>
      </c>
      <c r="T41" s="133">
        <f t="shared" si="6"/>
        <v>1</v>
      </c>
    </row>
    <row r="42" spans="2:20" ht="12.75">
      <c r="B42" s="9" t="s">
        <v>28</v>
      </c>
      <c r="E42" s="133">
        <f>SUMIF($D$4:$D$31,"Y",E$4:E$31)/E35</f>
        <v>1</v>
      </c>
      <c r="F42" s="133">
        <f aca="true" t="shared" si="7" ref="F42:T42">SUMIF($D$4:$D$31,"Y",F$4:F$31)/F35</f>
        <v>1</v>
      </c>
      <c r="G42" s="133">
        <f t="shared" si="7"/>
        <v>1</v>
      </c>
      <c r="H42" s="133">
        <f t="shared" si="7"/>
        <v>1</v>
      </c>
      <c r="I42" s="133">
        <f t="shared" si="7"/>
        <v>1</v>
      </c>
      <c r="J42" s="133">
        <f t="shared" si="7"/>
        <v>1</v>
      </c>
      <c r="K42" s="133">
        <f t="shared" si="7"/>
        <v>1</v>
      </c>
      <c r="L42" s="133">
        <f t="shared" si="7"/>
        <v>1</v>
      </c>
      <c r="M42" s="133">
        <f t="shared" si="7"/>
        <v>1</v>
      </c>
      <c r="N42" s="133">
        <f t="shared" si="7"/>
        <v>1</v>
      </c>
      <c r="O42" s="133">
        <f t="shared" si="7"/>
        <v>1</v>
      </c>
      <c r="P42" s="133">
        <f t="shared" si="7"/>
        <v>1</v>
      </c>
      <c r="Q42" s="133">
        <f t="shared" si="7"/>
        <v>1</v>
      </c>
      <c r="R42" s="133">
        <f t="shared" si="7"/>
        <v>1</v>
      </c>
      <c r="S42" s="133">
        <f t="shared" si="7"/>
        <v>1</v>
      </c>
      <c r="T42" s="133">
        <f t="shared" si="7"/>
        <v>1</v>
      </c>
    </row>
    <row r="45" spans="1:2" ht="12.75">
      <c r="A45" s="64" t="s">
        <v>230</v>
      </c>
      <c r="B45" s="64"/>
    </row>
    <row r="46" spans="1:20" ht="12.75">
      <c r="A46" s="141"/>
      <c r="B46" s="142"/>
      <c r="C46" s="147"/>
      <c r="D46" s="147"/>
      <c r="E46" s="143">
        <f>E3</f>
        <v>1992</v>
      </c>
      <c r="F46" s="143">
        <f aca="true" t="shared" si="8" ref="F46:T46">F3</f>
        <v>1993</v>
      </c>
      <c r="G46" s="143">
        <f t="shared" si="8"/>
        <v>1994</v>
      </c>
      <c r="H46" s="143">
        <f t="shared" si="8"/>
        <v>1995</v>
      </c>
      <c r="I46" s="143">
        <f t="shared" si="8"/>
        <v>1996</v>
      </c>
      <c r="J46" s="143">
        <f t="shared" si="8"/>
        <v>1997</v>
      </c>
      <c r="K46" s="143">
        <f t="shared" si="8"/>
        <v>1998</v>
      </c>
      <c r="L46" s="143">
        <f t="shared" si="8"/>
        <v>1999</v>
      </c>
      <c r="M46" s="143">
        <f t="shared" si="8"/>
        <v>2000</v>
      </c>
      <c r="N46" s="143">
        <f t="shared" si="8"/>
        <v>2001</v>
      </c>
      <c r="O46" s="143">
        <f t="shared" si="8"/>
        <v>2002</v>
      </c>
      <c r="P46" s="143">
        <f t="shared" si="8"/>
        <v>2003</v>
      </c>
      <c r="Q46" s="143">
        <f t="shared" si="8"/>
        <v>2004</v>
      </c>
      <c r="R46" s="143">
        <f t="shared" si="8"/>
        <v>2005</v>
      </c>
      <c r="S46" s="143">
        <f t="shared" si="8"/>
        <v>2006</v>
      </c>
      <c r="T46" s="143">
        <f t="shared" si="8"/>
        <v>2007</v>
      </c>
    </row>
    <row r="47" spans="1:20" ht="12.75">
      <c r="A47" s="141" t="s">
        <v>1</v>
      </c>
      <c r="B47" s="142"/>
      <c r="C47" s="147"/>
      <c r="D47" s="147"/>
      <c r="E47" s="148"/>
      <c r="F47" s="147"/>
      <c r="G47" s="147"/>
      <c r="H47" s="147"/>
      <c r="I47" s="147"/>
      <c r="J47" s="147"/>
      <c r="K47" s="147"/>
      <c r="L47" s="144">
        <v>5.168904761661289</v>
      </c>
      <c r="M47" s="144">
        <v>5.685478360491403</v>
      </c>
      <c r="N47" s="144">
        <v>1.1671763679293707</v>
      </c>
      <c r="O47" s="144">
        <v>3.641025548943156</v>
      </c>
      <c r="P47" s="144">
        <v>2.991506413545408</v>
      </c>
      <c r="Q47" s="144">
        <v>3.3679798294916967</v>
      </c>
      <c r="R47" s="144">
        <v>1.877470945838851</v>
      </c>
      <c r="S47" s="144">
        <v>2.4006033244198117</v>
      </c>
      <c r="T47" s="144">
        <v>2.3999636977196035</v>
      </c>
    </row>
    <row r="48" spans="1:20" ht="12.75">
      <c r="A48" s="141" t="s">
        <v>19</v>
      </c>
      <c r="B48" s="142"/>
      <c r="C48" s="147"/>
      <c r="D48" s="147"/>
      <c r="E48" s="144">
        <v>13.160791485056928</v>
      </c>
      <c r="F48" s="144">
        <v>17.26300928211478</v>
      </c>
      <c r="G48" s="144">
        <v>7.50365568625289</v>
      </c>
      <c r="H48" s="144">
        <v>7.237925761554673</v>
      </c>
      <c r="I48" s="144">
        <v>1.0936498290364332</v>
      </c>
      <c r="J48" s="144">
        <v>0.7513143077686344</v>
      </c>
      <c r="K48" s="144">
        <v>2.3238171571393367</v>
      </c>
      <c r="L48" s="144">
        <v>5.775283498592384</v>
      </c>
      <c r="M48" s="144">
        <v>3.477195710319775</v>
      </c>
      <c r="N48" s="144">
        <v>2.0137891595694177</v>
      </c>
      <c r="O48" s="144">
        <v>0.972868890394773</v>
      </c>
      <c r="P48" s="144">
        <v>1.3331365035760971</v>
      </c>
      <c r="Q48" s="144">
        <v>2.946753662687373</v>
      </c>
      <c r="R48" s="144">
        <v>1.1381000688123832</v>
      </c>
      <c r="S48" s="144">
        <v>0.7131108439075146</v>
      </c>
      <c r="T48" s="144">
        <v>0.679225</v>
      </c>
    </row>
    <row r="49" spans="1:20" ht="12.75">
      <c r="A49" s="145" t="s">
        <v>15</v>
      </c>
      <c r="B49" s="146"/>
      <c r="C49" s="147"/>
      <c r="D49" s="147"/>
      <c r="E49" s="144">
        <v>312.9442603031018</v>
      </c>
      <c r="F49" s="144">
        <v>39.346517950965286</v>
      </c>
      <c r="G49" s="144">
        <v>29.718727998429983</v>
      </c>
      <c r="H49" s="144">
        <v>27.472007088510043</v>
      </c>
      <c r="I49" s="144">
        <v>33.01873009379657</v>
      </c>
      <c r="J49" s="144">
        <v>50.06123080649719</v>
      </c>
      <c r="K49" s="144">
        <v>43.15077237329248</v>
      </c>
      <c r="L49" s="144">
        <v>45.18570837782647</v>
      </c>
      <c r="M49" s="144">
        <v>69.08378245957864</v>
      </c>
      <c r="N49" s="144">
        <v>89.32218621497236</v>
      </c>
      <c r="O49" s="144">
        <v>58.32944470368642</v>
      </c>
      <c r="P49" s="144">
        <v>37.95799618147104</v>
      </c>
      <c r="Q49" s="144">
        <v>48.82035875231952</v>
      </c>
      <c r="R49" s="144">
        <v>131.11753155897048</v>
      </c>
      <c r="S49" s="144">
        <v>132.97659436188303</v>
      </c>
      <c r="T49" s="144">
        <v>84.79728186165927</v>
      </c>
    </row>
    <row r="50" spans="1:20" ht="12.75">
      <c r="A50" s="145" t="s">
        <v>9</v>
      </c>
      <c r="B50" s="142"/>
      <c r="C50" s="147"/>
      <c r="D50" s="147"/>
      <c r="E50" s="144">
        <v>19</v>
      </c>
      <c r="F50" s="144">
        <v>28</v>
      </c>
      <c r="G50" s="150"/>
      <c r="H50" s="150"/>
      <c r="I50" s="150"/>
      <c r="J50" s="150"/>
      <c r="K50" s="150"/>
      <c r="L50" s="150"/>
      <c r="M50" s="150"/>
      <c r="N50" s="144">
        <v>107</v>
      </c>
      <c r="O50" s="144">
        <v>75</v>
      </c>
      <c r="P50" s="144">
        <v>48</v>
      </c>
      <c r="Q50" s="144">
        <v>80</v>
      </c>
      <c r="R50" s="144">
        <v>105</v>
      </c>
      <c r="S50" s="144">
        <v>147</v>
      </c>
      <c r="T50" s="144">
        <v>271</v>
      </c>
    </row>
    <row r="51" spans="1:20" ht="12.75">
      <c r="A51" s="145" t="s">
        <v>10</v>
      </c>
      <c r="B51" s="142"/>
      <c r="C51" s="147"/>
      <c r="D51" s="147"/>
      <c r="E51" s="149"/>
      <c r="F51" s="149"/>
      <c r="G51" s="149"/>
      <c r="H51" s="73">
        <v>275.05064157085997</v>
      </c>
      <c r="I51" s="73">
        <v>255.8589674936507</v>
      </c>
      <c r="J51" s="151">
        <v>298.38813801794174</v>
      </c>
      <c r="K51" s="144">
        <v>298.99239258987643</v>
      </c>
      <c r="L51" s="144">
        <v>387.3722712741508</v>
      </c>
      <c r="M51" s="144">
        <v>354.7488185531977</v>
      </c>
      <c r="N51" s="144">
        <v>415.18</v>
      </c>
      <c r="O51" s="144">
        <v>558.29</v>
      </c>
      <c r="P51" s="144">
        <v>776.9200000000001</v>
      </c>
      <c r="Q51" s="144">
        <v>1234</v>
      </c>
      <c r="R51" s="149"/>
      <c r="S51" s="144">
        <v>0</v>
      </c>
      <c r="T51" s="144">
        <v>0</v>
      </c>
    </row>
    <row r="52" spans="1:20" ht="12.75">
      <c r="A52" s="145" t="s">
        <v>11</v>
      </c>
      <c r="B52" s="142"/>
      <c r="C52" s="147"/>
      <c r="D52" s="147"/>
      <c r="E52" s="148"/>
      <c r="F52" s="147"/>
      <c r="G52" s="147"/>
      <c r="H52" s="147"/>
      <c r="I52" s="147"/>
      <c r="J52" s="147"/>
      <c r="K52" s="147"/>
      <c r="L52" s="147"/>
      <c r="M52" s="144">
        <v>17.857142857142854</v>
      </c>
      <c r="N52" s="144">
        <v>24.999999999999996</v>
      </c>
      <c r="O52" s="144">
        <v>12.048192771084338</v>
      </c>
      <c r="P52" s="144">
        <v>4.682378648353363</v>
      </c>
      <c r="Q52" s="144">
        <v>4.504504504504505</v>
      </c>
      <c r="R52" s="144">
        <v>17.236426314277505</v>
      </c>
      <c r="S52" s="144">
        <v>20.109164033323758</v>
      </c>
      <c r="T52" s="144">
        <v>17.236426314277505</v>
      </c>
    </row>
    <row r="53" spans="1:20" ht="12.75">
      <c r="A53" s="145" t="s">
        <v>21</v>
      </c>
      <c r="B53" s="142"/>
      <c r="C53" s="147"/>
      <c r="D53" s="147"/>
      <c r="E53" s="144">
        <v>70.75581279578385</v>
      </c>
      <c r="F53" s="144">
        <v>51.307294515929925</v>
      </c>
      <c r="G53" s="144">
        <v>34.992264321388895</v>
      </c>
      <c r="H53" s="144">
        <v>75.65447550873886</v>
      </c>
      <c r="I53" s="144">
        <v>94.89471149893714</v>
      </c>
      <c r="J53" s="144">
        <v>88.19616306233723</v>
      </c>
      <c r="K53" s="144">
        <v>98.81223432295113</v>
      </c>
      <c r="L53" s="144">
        <v>199.18916156580397</v>
      </c>
      <c r="M53" s="144">
        <v>314.9718183109932</v>
      </c>
      <c r="N53" s="144">
        <v>348.34847813637884</v>
      </c>
      <c r="O53" s="144">
        <v>227.1561275392693</v>
      </c>
      <c r="P53" s="144">
        <v>148.83496635321453</v>
      </c>
      <c r="Q53" s="144">
        <v>80.55412469997698</v>
      </c>
      <c r="R53" s="144">
        <v>84.52839098186288</v>
      </c>
      <c r="S53" s="144">
        <v>87.73785206771483</v>
      </c>
      <c r="T53" s="144">
        <v>117.61069610479936</v>
      </c>
    </row>
    <row r="54" spans="1:20" ht="12.75">
      <c r="A54" s="145" t="s">
        <v>32</v>
      </c>
      <c r="B54" s="147"/>
      <c r="C54" s="147"/>
      <c r="D54" s="147"/>
      <c r="E54" s="144">
        <v>2343.247643414223</v>
      </c>
      <c r="F54" s="144">
        <v>2958.051003631912</v>
      </c>
      <c r="G54" s="144">
        <v>1194.2067947181208</v>
      </c>
      <c r="H54" s="144">
        <v>414.815061138124</v>
      </c>
      <c r="I54" s="144">
        <v>1329.865124577053</v>
      </c>
      <c r="J54" s="144">
        <v>2279.9955583320193</v>
      </c>
      <c r="K54" s="144">
        <v>2054.79162384106</v>
      </c>
      <c r="L54" s="144">
        <v>2244.5056082187525</v>
      </c>
      <c r="M54" s="144">
        <v>198.65188497874453</v>
      </c>
      <c r="N54" s="144">
        <v>135.2489019033675</v>
      </c>
      <c r="O54" s="144">
        <v>149.69768573215651</v>
      </c>
      <c r="P54" s="144">
        <v>133.54257965178255</v>
      </c>
      <c r="Q54" s="144">
        <v>149.83695041043518</v>
      </c>
      <c r="R54" s="144">
        <v>360.71266547478</v>
      </c>
      <c r="S54" s="144">
        <v>468.28098130936</v>
      </c>
      <c r="T54" s="144">
        <v>128.46234010325284</v>
      </c>
    </row>
    <row r="55" spans="1:20" ht="12.75">
      <c r="A55" s="145" t="s">
        <v>8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4">
        <v>4.253578526831423</v>
      </c>
      <c r="L55" s="144">
        <v>5.610261725835708</v>
      </c>
      <c r="M55" s="144">
        <v>12.272964420053752</v>
      </c>
      <c r="N55" s="144">
        <v>10.329444063143445</v>
      </c>
      <c r="O55" s="144">
        <v>5.163611046646554</v>
      </c>
      <c r="P55" s="144">
        <v>4.30467397576457</v>
      </c>
      <c r="Q55" s="144">
        <v>2.8345191645627725</v>
      </c>
      <c r="R55" s="144">
        <v>7.286207337338617</v>
      </c>
      <c r="S55" s="144">
        <v>4.982027151550736</v>
      </c>
      <c r="T55" s="147"/>
    </row>
    <row r="56" spans="1:21" ht="12.75">
      <c r="A56" s="145" t="s">
        <v>14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62" t="s">
        <v>231</v>
      </c>
    </row>
    <row r="57" spans="1:20" ht="12.75">
      <c r="A57" s="145" t="s">
        <v>17</v>
      </c>
      <c r="B57" s="147"/>
      <c r="C57" s="147"/>
      <c r="D57" s="147"/>
      <c r="E57" s="144">
        <v>1.0629202113460354</v>
      </c>
      <c r="F57" s="144">
        <v>6.709188213666844</v>
      </c>
      <c r="G57" s="144">
        <v>8.153296047001774</v>
      </c>
      <c r="H57" s="144">
        <v>12.164537941397446</v>
      </c>
      <c r="I57" s="144">
        <v>21.392401835798065</v>
      </c>
      <c r="J57" s="144">
        <v>4.719042920572274</v>
      </c>
      <c r="K57" s="144">
        <v>2.97536304456685</v>
      </c>
      <c r="L57" s="144">
        <v>3.1875191189966348</v>
      </c>
      <c r="M57" s="144">
        <v>6.771408493123181</v>
      </c>
      <c r="N57" s="144">
        <v>7.3076923076923075</v>
      </c>
      <c r="O57" s="144">
        <v>14.070994563479374</v>
      </c>
      <c r="P57" s="144">
        <v>2.663044925567894</v>
      </c>
      <c r="Q57" s="144">
        <v>2.2216736608244876</v>
      </c>
      <c r="R57" s="144">
        <v>1.9331676332504832</v>
      </c>
      <c r="S57" s="144">
        <v>15.032049463951445</v>
      </c>
      <c r="T57" s="144">
        <v>42.006721075372056</v>
      </c>
    </row>
  </sheetData>
  <sheetProtection/>
  <mergeCells count="1">
    <mergeCell ref="A2:R2"/>
  </mergeCells>
  <conditionalFormatting sqref="E40:T42">
    <cfRule type="cellIs" priority="1" dxfId="0" operator="not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</sheetPr>
  <dimension ref="A1:R76"/>
  <sheetViews>
    <sheetView zoomScale="90" zoomScaleNormal="90" zoomScalePageLayoutView="0" workbookViewId="0" topLeftCell="A28">
      <selection activeCell="R38" sqref="R38"/>
    </sheetView>
  </sheetViews>
  <sheetFormatPr defaultColWidth="9.140625" defaultRowHeight="12.75"/>
  <cols>
    <col min="2" max="2" width="10.8515625" style="0" customWidth="1"/>
    <col min="3" max="13" width="13.421875" style="0" customWidth="1"/>
    <col min="14" max="14" width="14.00390625" style="0" customWidth="1"/>
    <col min="15" max="15" width="14.421875" style="0" customWidth="1"/>
    <col min="16" max="17" width="13.421875" style="0" customWidth="1"/>
    <col min="18" max="18" width="14.8515625" style="0" customWidth="1"/>
  </cols>
  <sheetData>
    <row r="1" ht="20.25" customHeight="1">
      <c r="A1" s="46" t="s">
        <v>185</v>
      </c>
    </row>
    <row r="2" s="1" customFormat="1" ht="12.75">
      <c r="A2" s="5"/>
    </row>
    <row r="3" spans="1:18" s="8" customFormat="1" ht="12.75">
      <c r="A3" s="56" t="s">
        <v>218</v>
      </c>
      <c r="B3" s="56"/>
      <c r="C3" s="77">
        <v>1992</v>
      </c>
      <c r="D3" s="77">
        <v>1993</v>
      </c>
      <c r="E3" s="77">
        <v>1994</v>
      </c>
      <c r="F3" s="77">
        <v>1995</v>
      </c>
      <c r="G3" s="77">
        <v>1996</v>
      </c>
      <c r="H3" s="77">
        <v>1997</v>
      </c>
      <c r="I3" s="77">
        <v>1998</v>
      </c>
      <c r="J3" s="77">
        <v>1999</v>
      </c>
      <c r="K3" s="77">
        <v>2000</v>
      </c>
      <c r="L3" s="77">
        <v>2001</v>
      </c>
      <c r="M3" s="77">
        <v>2002</v>
      </c>
      <c r="N3" s="77">
        <v>2003</v>
      </c>
      <c r="O3" s="77">
        <v>2004</v>
      </c>
      <c r="P3" s="77">
        <v>2005</v>
      </c>
      <c r="Q3" s="77">
        <v>2006</v>
      </c>
      <c r="R3" s="77">
        <v>2007</v>
      </c>
    </row>
    <row r="4" spans="1:18" s="9" customFormat="1" ht="12.75">
      <c r="A4" s="85" t="s">
        <v>134</v>
      </c>
      <c r="B4" s="85" t="s">
        <v>36</v>
      </c>
      <c r="C4" s="78">
        <f>BD_Road!E33</f>
        <v>34927.28094212491</v>
      </c>
      <c r="D4" s="78">
        <f>BD_Road!F33</f>
        <v>33599.47756427855</v>
      </c>
      <c r="E4" s="78">
        <f>BD_Road!G33</f>
        <v>33636.8614156243</v>
      </c>
      <c r="F4" s="78">
        <f>BD_Road!H33</f>
        <v>32541.24427512767</v>
      </c>
      <c r="G4" s="78">
        <f>BD_Road!I33</f>
        <v>32993.13283984508</v>
      </c>
      <c r="H4" s="78">
        <f>BD_Road!J33</f>
        <v>33506.849990571</v>
      </c>
      <c r="I4" s="78">
        <f>BD_Road!K33</f>
        <v>33212.31658822594</v>
      </c>
      <c r="J4" s="78">
        <f>BD_Road!L33</f>
        <v>32778.72294423731</v>
      </c>
      <c r="K4" s="78">
        <f>BD_Road!M33</f>
        <v>36092.38878546911</v>
      </c>
      <c r="L4" s="78">
        <f>BD_Road!N33</f>
        <v>37478.7864886238</v>
      </c>
      <c r="M4" s="78">
        <f>BD_Road!O33</f>
        <v>38594.05362426264</v>
      </c>
      <c r="N4" s="78">
        <f>BD_Road!P33</f>
        <v>38329.99127448209</v>
      </c>
      <c r="O4" s="78">
        <f>BD_Road!Q33</f>
        <v>42033.6343836839</v>
      </c>
      <c r="P4" s="78">
        <f>BD_Road!R33</f>
        <v>44180.99807447024</v>
      </c>
      <c r="Q4" s="78">
        <f>BD_Road!S33</f>
        <v>45094.499124399204</v>
      </c>
      <c r="R4" s="78">
        <f>BD_Road!T33</f>
        <v>44653.96368139016</v>
      </c>
    </row>
    <row r="5" spans="1:18" s="9" customFormat="1" ht="12.75">
      <c r="A5" s="85" t="s">
        <v>134</v>
      </c>
      <c r="B5" s="86" t="s">
        <v>37</v>
      </c>
      <c r="C5" s="78">
        <f>BD_Rail!E33</f>
        <v>14213.578333874308</v>
      </c>
      <c r="D5" s="78">
        <f>BD_Rail!F33</f>
        <v>13456.12982222368</v>
      </c>
      <c r="E5" s="78">
        <f>BD_Rail!G33</f>
        <v>13677.748447348165</v>
      </c>
      <c r="F5" s="78">
        <f>BD_Rail!H33</f>
        <v>13509.951849895544</v>
      </c>
      <c r="G5" s="78">
        <f>BD_Rail!I33</f>
        <v>14006.788876951918</v>
      </c>
      <c r="H5" s="78">
        <f>BD_Rail!J33</f>
        <v>14515.342008432712</v>
      </c>
      <c r="I5" s="78">
        <f>BD_Rail!K33</f>
        <v>14750.630797516382</v>
      </c>
      <c r="J5" s="78">
        <f>BD_Rail!L33</f>
        <v>19243.029812254543</v>
      </c>
      <c r="K5" s="78">
        <f>BD_Rail!M33</f>
        <v>16812.14765081095</v>
      </c>
      <c r="L5" s="78">
        <f>BD_Rail!N33</f>
        <v>17886.071361363123</v>
      </c>
      <c r="M5" s="78">
        <f>BD_Rail!O33</f>
        <v>21895.175723666405</v>
      </c>
      <c r="N5" s="78">
        <f>BD_Rail!P33</f>
        <v>23338.720719041805</v>
      </c>
      <c r="O5" s="78">
        <f>BD_Rail!Q33</f>
        <v>21517.23988853207</v>
      </c>
      <c r="P5" s="78">
        <f>BD_Rail!R33</f>
        <v>20015.86962656243</v>
      </c>
      <c r="Q5" s="78">
        <f>BD_Rail!S33</f>
        <v>21765.7175428292</v>
      </c>
      <c r="R5" s="78">
        <f>BD_Rail!T33</f>
        <v>23261.502391480153</v>
      </c>
    </row>
    <row r="6" spans="1:18" s="9" customFormat="1" ht="12.75">
      <c r="A6" s="85" t="s">
        <v>134</v>
      </c>
      <c r="B6" s="86" t="s">
        <v>35</v>
      </c>
      <c r="C6" s="79">
        <f>BD_IWW!E33</f>
        <v>755.0960408139141</v>
      </c>
      <c r="D6" s="79">
        <f>BD_IWW!F33</f>
        <v>898.4000964390177</v>
      </c>
      <c r="E6" s="79">
        <f>BD_IWW!G33</f>
        <v>901.7854327623173</v>
      </c>
      <c r="F6" s="79">
        <f>BD_IWW!H33</f>
        <v>848.3189422906739</v>
      </c>
      <c r="G6" s="79">
        <f>BD_IWW!I33</f>
        <v>843.4156322390995</v>
      </c>
      <c r="H6" s="79">
        <f>BD_IWW!J33</f>
        <v>842.5248144987881</v>
      </c>
      <c r="I6" s="79">
        <f>BD_IWW!K33</f>
        <v>930.2093003549126</v>
      </c>
      <c r="J6" s="79">
        <f>BD_IWW!L33</f>
        <v>960.455311398512</v>
      </c>
      <c r="K6" s="79">
        <f>BD_IWW!M33</f>
        <v>956.2756941339549</v>
      </c>
      <c r="L6" s="79">
        <f>BD_IWW!N33</f>
        <v>979.5524326610135</v>
      </c>
      <c r="M6" s="79">
        <f>BD_IWW!O33</f>
        <v>966.106459960699</v>
      </c>
      <c r="N6" s="79">
        <f>BD_IWW!P33</f>
        <v>986.2922035982724</v>
      </c>
      <c r="O6" s="79">
        <f>BD_IWW!Q33</f>
        <v>935.2520371613841</v>
      </c>
      <c r="P6" s="79">
        <f>BD_IWW!R33</f>
        <v>937.3396969084273</v>
      </c>
      <c r="Q6" s="79">
        <f>BD_IWW!S33</f>
        <v>1008.5199660658119</v>
      </c>
      <c r="R6" s="79">
        <f>BD_IWW!T33</f>
        <v>1021.5837034671306</v>
      </c>
    </row>
    <row r="7" spans="1:18" s="9" customFormat="1" ht="12.75">
      <c r="A7" s="87" t="s">
        <v>134</v>
      </c>
      <c r="B7" s="88" t="s">
        <v>187</v>
      </c>
      <c r="C7" s="89">
        <f>BD_Sea!E33</f>
        <v>1337.5685498912703</v>
      </c>
      <c r="D7" s="89">
        <f>+BD_Sea!F33</f>
        <v>1361.5101727829915</v>
      </c>
      <c r="E7" s="89">
        <f>+BD_Sea!G33</f>
        <v>1366.106900736383</v>
      </c>
      <c r="F7" s="89">
        <f>+BD_Sea!H33</f>
        <v>1537.0233390835458</v>
      </c>
      <c r="G7" s="89">
        <f>+BD_Sea!I33</f>
        <v>1480.4657045622253</v>
      </c>
      <c r="H7" s="89">
        <f>+BD_Sea!J33</f>
        <v>1652.2358299217544</v>
      </c>
      <c r="I7" s="89">
        <f>+BD_Sea!K33</f>
        <v>1663.4344414997909</v>
      </c>
      <c r="J7" s="89">
        <f>+BD_Sea!L33</f>
        <v>1724.4018771484193</v>
      </c>
      <c r="K7" s="89">
        <f>+BD_Sea!M33</f>
        <v>1864.9626743349188</v>
      </c>
      <c r="L7" s="89">
        <f>+BD_Sea!N33</f>
        <v>2096.5964848178864</v>
      </c>
      <c r="M7" s="89">
        <f>+BD_Sea!O33</f>
        <v>2600.5812819157327</v>
      </c>
      <c r="N7" s="89">
        <f>+BD_Sea!P33</f>
        <v>2464.350225589702</v>
      </c>
      <c r="O7" s="89">
        <f>+BD_Sea!Q33</f>
        <v>2367.157685726294</v>
      </c>
      <c r="P7" s="89">
        <f>+BD_Sea!R33</f>
        <v>2495.1494475118084</v>
      </c>
      <c r="Q7" s="89">
        <f>+BD_Sea!S33</f>
        <v>2904.743726228515</v>
      </c>
      <c r="R7" s="89">
        <f>+BD_Sea!T33</f>
        <v>3016.09851228278</v>
      </c>
    </row>
    <row r="8" spans="1:18" s="9" customFormat="1" ht="12.75">
      <c r="A8" s="85" t="s">
        <v>134</v>
      </c>
      <c r="B8" s="86" t="s">
        <v>38</v>
      </c>
      <c r="C8" s="79">
        <f>BD_Air!E33</f>
        <v>3312.440129069499</v>
      </c>
      <c r="D8" s="79">
        <f>BD_Air!F33</f>
        <v>2995.973537500761</v>
      </c>
      <c r="E8" s="79">
        <f>BD_Air!G33</f>
        <v>2918.8896940236095</v>
      </c>
      <c r="F8" s="79">
        <f>BD_Air!H33</f>
        <v>3275.75428316576</v>
      </c>
      <c r="G8" s="79">
        <f>BD_Air!I33</f>
        <v>2985.624577910067</v>
      </c>
      <c r="H8" s="79">
        <f>BD_Air!J33</f>
        <v>3618.725921517337</v>
      </c>
      <c r="I8" s="79">
        <f>BD_Air!K33</f>
        <v>3854.7991915270673</v>
      </c>
      <c r="J8" s="79">
        <f>BD_Air!L33</f>
        <v>3889.5210474325554</v>
      </c>
      <c r="K8" s="79">
        <f>BD_Air!M33</f>
        <v>4344.155451601554</v>
      </c>
      <c r="L8" s="79">
        <f>BD_Air!N33</f>
        <v>4587.803341206386</v>
      </c>
      <c r="M8" s="79">
        <f>BD_Air!O33</f>
        <v>5011.934536017807</v>
      </c>
      <c r="N8" s="79">
        <f>BD_Air!P33</f>
        <v>6507.021995386056</v>
      </c>
      <c r="O8" s="79">
        <f>BD_Air!Q33</f>
        <v>6142.301524620333</v>
      </c>
      <c r="P8" s="79">
        <f>BD_Air!R33</f>
        <v>6483.176151706377</v>
      </c>
      <c r="Q8" s="79">
        <f>BD_Air!S33</f>
        <v>6534.449677928318</v>
      </c>
      <c r="R8" s="79">
        <f>BD_Air!T33</f>
        <v>7903.803179008007</v>
      </c>
    </row>
    <row r="9" spans="1:18" s="9" customFormat="1" ht="12.75">
      <c r="A9" s="50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9" customFormat="1" ht="12.75">
      <c r="A10" s="54"/>
      <c r="B10" s="54"/>
      <c r="C10" s="77">
        <v>1992</v>
      </c>
      <c r="D10" s="77">
        <v>1993</v>
      </c>
      <c r="E10" s="77">
        <v>1994</v>
      </c>
      <c r="F10" s="77">
        <v>1995</v>
      </c>
      <c r="G10" s="77">
        <v>1996</v>
      </c>
      <c r="H10" s="77">
        <v>1997</v>
      </c>
      <c r="I10" s="77">
        <v>1998</v>
      </c>
      <c r="J10" s="77">
        <v>1999</v>
      </c>
      <c r="K10" s="77">
        <v>2000</v>
      </c>
      <c r="L10" s="77">
        <v>2001</v>
      </c>
      <c r="M10" s="77">
        <v>2002</v>
      </c>
      <c r="N10" s="77">
        <v>2003</v>
      </c>
      <c r="O10" s="77">
        <v>2004</v>
      </c>
      <c r="P10" s="77">
        <v>2005</v>
      </c>
      <c r="Q10" s="77">
        <v>2006</v>
      </c>
      <c r="R10" s="77">
        <v>2007</v>
      </c>
    </row>
    <row r="11" spans="1:18" s="12" customFormat="1" ht="12.75">
      <c r="A11" s="85" t="s">
        <v>132</v>
      </c>
      <c r="B11" s="85" t="s">
        <v>36</v>
      </c>
      <c r="C11" s="78">
        <f>BD_Road!E34</f>
        <v>407.5283603462062</v>
      </c>
      <c r="D11" s="78">
        <f>BD_Road!F34</f>
        <v>438.5985675139927</v>
      </c>
      <c r="E11" s="78">
        <f>BD_Road!G34</f>
        <v>550.9628405531936</v>
      </c>
      <c r="F11" s="78">
        <f>BD_Road!H34</f>
        <v>492.7119186237602</v>
      </c>
      <c r="G11" s="78">
        <f>BD_Road!I34</f>
        <v>547.8779448924936</v>
      </c>
      <c r="H11" s="78">
        <f>BD_Road!J34</f>
        <v>1047.0185909599181</v>
      </c>
      <c r="I11" s="78">
        <f>BD_Road!K34</f>
        <v>1067.5259022580058</v>
      </c>
      <c r="J11" s="78">
        <f>BD_Road!L34</f>
        <v>881.9598310520088</v>
      </c>
      <c r="K11" s="78">
        <f>BD_Road!M34</f>
        <v>840.0180642754979</v>
      </c>
      <c r="L11" s="78">
        <f>BD_Road!N34</f>
        <v>828.5451072310489</v>
      </c>
      <c r="M11" s="78">
        <f>BD_Road!O34</f>
        <v>1215.6099605161</v>
      </c>
      <c r="N11" s="78">
        <f>BD_Road!P34</f>
        <v>1268.171231703336</v>
      </c>
      <c r="O11" s="78">
        <f>BD_Road!Q34</f>
        <v>2892.68437597302</v>
      </c>
      <c r="P11" s="78">
        <f>BD_Road!R34</f>
        <v>3750.797101286486</v>
      </c>
      <c r="Q11" s="78">
        <f>BD_Road!S34</f>
        <v>2792.272228794272</v>
      </c>
      <c r="R11" s="78">
        <f>BD_Road!T34</f>
        <v>2929.8162964405637</v>
      </c>
    </row>
    <row r="12" spans="1:18" s="9" customFormat="1" ht="12.75">
      <c r="A12" s="85" t="s">
        <v>132</v>
      </c>
      <c r="B12" s="86" t="s">
        <v>37</v>
      </c>
      <c r="C12" s="78">
        <f>BD_Rail!E34</f>
        <v>140.40611817240494</v>
      </c>
      <c r="D12" s="78">
        <f>BD_Rail!F34</f>
        <v>149.23299801592955</v>
      </c>
      <c r="E12" s="78">
        <f>BD_Rail!G34</f>
        <v>201.53165738787817</v>
      </c>
      <c r="F12" s="78">
        <f>BD_Rail!H34</f>
        <v>265.9973015414336</v>
      </c>
      <c r="G12" s="78">
        <f>BD_Rail!I34</f>
        <v>389.4872316879917</v>
      </c>
      <c r="H12" s="78">
        <f>BD_Rail!J34</f>
        <v>504.3526414601681</v>
      </c>
      <c r="I12" s="78">
        <f>BD_Rail!K34</f>
        <v>545.5020132033075</v>
      </c>
      <c r="J12" s="78">
        <f>BD_Rail!L34</f>
        <v>538.9568348860519</v>
      </c>
      <c r="K12" s="78">
        <f>BD_Rail!M34</f>
        <v>658.5029539881501</v>
      </c>
      <c r="L12" s="78">
        <f>BD_Rail!N34</f>
        <v>830.6871485802687</v>
      </c>
      <c r="M12" s="78">
        <f>BD_Rail!O34</f>
        <v>1067.6691333931794</v>
      </c>
      <c r="N12" s="78">
        <f>BD_Rail!P34</f>
        <v>887.5505953219688</v>
      </c>
      <c r="O12" s="78">
        <f>BD_Rail!Q34</f>
        <v>749.477724031324</v>
      </c>
      <c r="P12" s="78">
        <f>BD_Rail!R34</f>
        <v>903.781507272337</v>
      </c>
      <c r="Q12" s="78">
        <f>BD_Rail!S34</f>
        <v>854.1438399302749</v>
      </c>
      <c r="R12" s="78">
        <f>BD_Rail!T34</f>
        <v>1378.9269198466245</v>
      </c>
    </row>
    <row r="13" spans="1:18" s="9" customFormat="1" ht="12.75">
      <c r="A13" s="85" t="s">
        <v>132</v>
      </c>
      <c r="B13" s="86" t="s">
        <v>35</v>
      </c>
      <c r="C13" s="79">
        <f>BD_IWW!E34</f>
        <v>39.852415687288165</v>
      </c>
      <c r="D13" s="79">
        <f>BD_IWW!F34</f>
        <v>114.82899157892035</v>
      </c>
      <c r="E13" s="79">
        <f>BD_IWW!G34</f>
        <v>92.46814319935581</v>
      </c>
      <c r="F13" s="79">
        <f>BD_IWW!H34</f>
        <v>24.29499216896876</v>
      </c>
      <c r="G13" s="79">
        <f>BD_IWW!I34</f>
        <v>20.212760602696513</v>
      </c>
      <c r="H13" s="79">
        <f>BD_IWW!J34</f>
        <v>21.775909598009605</v>
      </c>
      <c r="I13" s="79">
        <f>BD_IWW!K34</f>
        <v>15.727493730392997</v>
      </c>
      <c r="J13" s="79">
        <f>BD_IWW!L34</f>
        <v>7.052120518622055</v>
      </c>
      <c r="K13" s="79">
        <f>BD_IWW!M34</f>
        <v>12.95274138400322</v>
      </c>
      <c r="L13" s="79">
        <f>BD_IWW!N34</f>
        <v>16.970432661013586</v>
      </c>
      <c r="M13" s="79">
        <f>BD_IWW!O34</f>
        <v>23.376459960699012</v>
      </c>
      <c r="N13" s="79">
        <f>BD_IWW!P34</f>
        <v>19.913203598272382</v>
      </c>
      <c r="O13" s="79">
        <f>BD_IWW!Q34</f>
        <v>13.5200371613842</v>
      </c>
      <c r="P13" s="79">
        <f>BD_IWW!R34</f>
        <v>12.969696908427272</v>
      </c>
      <c r="Q13" s="79">
        <f>BD_IWW!S34</f>
        <v>25.465966065811877</v>
      </c>
      <c r="R13" s="79">
        <f>BD_IWW!T34</f>
        <v>22.03570346713058</v>
      </c>
    </row>
    <row r="14" spans="1:18" s="9" customFormat="1" ht="12.75">
      <c r="A14" s="87" t="s">
        <v>132</v>
      </c>
      <c r="B14" s="88" t="s">
        <v>187</v>
      </c>
      <c r="C14" s="89">
        <f>BD_Sea!E34</f>
        <v>10.668802149259898</v>
      </c>
      <c r="D14" s="89">
        <f>BD_Sea!F34</f>
        <v>10.865388621751553</v>
      </c>
      <c r="E14" s="89">
        <f>BD_Sea!G34</f>
        <v>23.082705242776782</v>
      </c>
      <c r="F14" s="89">
        <f>BD_Sea!H34</f>
        <v>24.50679109949672</v>
      </c>
      <c r="G14" s="89">
        <f>BD_Sea!I34</f>
        <v>28.70973333357533</v>
      </c>
      <c r="H14" s="89">
        <f>BD_Sea!J34</f>
        <v>32.623302786312394</v>
      </c>
      <c r="I14" s="89">
        <f>BD_Sea!K34</f>
        <v>41.15168553279042</v>
      </c>
      <c r="J14" s="89">
        <f>BD_Sea!L34</f>
        <v>22.109453141360483</v>
      </c>
      <c r="K14" s="89">
        <f>BD_Sea!M34</f>
        <v>30.547847019129858</v>
      </c>
      <c r="L14" s="89">
        <f>BD_Sea!N34</f>
        <v>60.67738692252861</v>
      </c>
      <c r="M14" s="89">
        <f>BD_Sea!O34</f>
        <v>51.21484227400665</v>
      </c>
      <c r="N14" s="89">
        <f>BD_Sea!P34</f>
        <v>83.15338068070113</v>
      </c>
      <c r="O14" s="89">
        <f>BD_Sea!Q34</f>
        <v>82.8141891005922</v>
      </c>
      <c r="P14" s="89">
        <f>BD_Sea!R34</f>
        <v>51.880380654461675</v>
      </c>
      <c r="Q14" s="89">
        <f>BD_Sea!S34</f>
        <v>57.98192548963223</v>
      </c>
      <c r="R14" s="89">
        <f>BD_Sea!T34</f>
        <v>80.29281785178983</v>
      </c>
    </row>
    <row r="15" spans="1:18" s="9" customFormat="1" ht="12.75">
      <c r="A15" s="85" t="s">
        <v>132</v>
      </c>
      <c r="B15" s="86" t="s">
        <v>38</v>
      </c>
      <c r="C15" s="79">
        <f>BD_Air!E34</f>
        <v>49.67808440201304</v>
      </c>
      <c r="D15" s="79">
        <f>BD_Air!F34</f>
        <v>176.71816642181415</v>
      </c>
      <c r="E15" s="79">
        <f>BD_Air!G34</f>
        <v>62.441182074294574</v>
      </c>
      <c r="F15" s="79">
        <f>BD_Air!H34</f>
        <v>131.45495413635334</v>
      </c>
      <c r="G15" s="79">
        <f>BD_Air!I34</f>
        <v>121.40376083423283</v>
      </c>
      <c r="H15" s="79">
        <f>BD_Air!J34</f>
        <v>126.50203601434343</v>
      </c>
      <c r="I15" s="79">
        <f>BD_Air!K34</f>
        <v>64.08071775846712</v>
      </c>
      <c r="J15" s="79">
        <f>BD_Air!L34</f>
        <v>41.05271588375737</v>
      </c>
      <c r="K15" s="79">
        <f>BD_Air!M34</f>
        <v>60.162397064142276</v>
      </c>
      <c r="L15" s="79">
        <f>BD_Air!N34</f>
        <v>73.56531266862403</v>
      </c>
      <c r="M15" s="79">
        <f>BD_Air!O34</f>
        <v>89.31544513903637</v>
      </c>
      <c r="N15" s="79">
        <f>BD_Air!P34</f>
        <v>107.92780486725866</v>
      </c>
      <c r="O15" s="79">
        <f>BD_Air!Q34</f>
        <v>190.46900559252282</v>
      </c>
      <c r="P15" s="79">
        <f>BD_Air!R34</f>
        <v>389.22803214667704</v>
      </c>
      <c r="Q15" s="79">
        <f>BD_Air!S34</f>
        <v>113.37911892687072</v>
      </c>
      <c r="R15" s="79">
        <f>BD_Air!T34</f>
        <v>152.6531546964554</v>
      </c>
    </row>
    <row r="16" spans="1:18" s="9" customFormat="1" ht="12.75">
      <c r="A16" s="50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9" customFormat="1" ht="12.75">
      <c r="A17" s="54"/>
      <c r="B17" s="54"/>
      <c r="C17" s="77">
        <v>1992</v>
      </c>
      <c r="D17" s="77">
        <v>1993</v>
      </c>
      <c r="E17" s="77">
        <v>1994</v>
      </c>
      <c r="F17" s="77">
        <v>1995</v>
      </c>
      <c r="G17" s="77">
        <v>1996</v>
      </c>
      <c r="H17" s="77">
        <v>1997</v>
      </c>
      <c r="I17" s="77">
        <v>1998</v>
      </c>
      <c r="J17" s="77">
        <v>1999</v>
      </c>
      <c r="K17" s="77">
        <v>2000</v>
      </c>
      <c r="L17" s="77">
        <v>2001</v>
      </c>
      <c r="M17" s="77">
        <v>2002</v>
      </c>
      <c r="N17" s="77">
        <v>2003</v>
      </c>
      <c r="O17" s="77">
        <v>2004</v>
      </c>
      <c r="P17" s="77">
        <v>2005</v>
      </c>
      <c r="Q17" s="77">
        <v>2006</v>
      </c>
      <c r="R17" s="77">
        <v>2007</v>
      </c>
    </row>
    <row r="18" spans="1:18" s="12" customFormat="1" ht="12.75">
      <c r="A18" s="85" t="s">
        <v>28</v>
      </c>
      <c r="B18" s="85" t="s">
        <v>36</v>
      </c>
      <c r="C18" s="78">
        <f>BD_Road!E35</f>
        <v>34519.7525817787</v>
      </c>
      <c r="D18" s="78">
        <f>BD_Road!F35</f>
        <v>33160.878996764564</v>
      </c>
      <c r="E18" s="78">
        <f>BD_Road!G35</f>
        <v>33085.89857507111</v>
      </c>
      <c r="F18" s="78">
        <f>BD_Road!H35</f>
        <v>32048.532356503907</v>
      </c>
      <c r="G18" s="78">
        <f>BD_Road!I35</f>
        <v>32445.254894952588</v>
      </c>
      <c r="H18" s="78">
        <f>BD_Road!J35</f>
        <v>32459.83139961108</v>
      </c>
      <c r="I18" s="78">
        <f>BD_Road!K35</f>
        <v>32144.79068596794</v>
      </c>
      <c r="J18" s="78">
        <f>BD_Road!L35</f>
        <v>31896.763113185298</v>
      </c>
      <c r="K18" s="78">
        <f>BD_Road!M35</f>
        <v>35252.37072119361</v>
      </c>
      <c r="L18" s="78">
        <f>BD_Road!N35</f>
        <v>36650.241381392756</v>
      </c>
      <c r="M18" s="78">
        <f>BD_Road!O35</f>
        <v>37378.44366374654</v>
      </c>
      <c r="N18" s="78">
        <f>BD_Road!P35</f>
        <v>37061.82004277875</v>
      </c>
      <c r="O18" s="78">
        <f>BD_Road!Q35</f>
        <v>39140.95000771088</v>
      </c>
      <c r="P18" s="78">
        <f>BD_Road!R35</f>
        <v>40430.20097318375</v>
      </c>
      <c r="Q18" s="78">
        <f>BD_Road!S35</f>
        <v>42302.22689560493</v>
      </c>
      <c r="R18" s="78">
        <f>BD_Road!T35</f>
        <v>41724.147384949596</v>
      </c>
    </row>
    <row r="19" spans="1:18" s="9" customFormat="1" ht="12.75">
      <c r="A19" s="85" t="s">
        <v>28</v>
      </c>
      <c r="B19" s="86" t="s">
        <v>37</v>
      </c>
      <c r="C19" s="78">
        <f>BD_Rail!E35</f>
        <v>14073.172215701903</v>
      </c>
      <c r="D19" s="78">
        <f>BD_Rail!F35</f>
        <v>13306.89682420775</v>
      </c>
      <c r="E19" s="78">
        <f>BD_Rail!G35</f>
        <v>13476.216789960286</v>
      </c>
      <c r="F19" s="78">
        <f>BD_Rail!H35</f>
        <v>13243.95454835411</v>
      </c>
      <c r="G19" s="78">
        <f>BD_Rail!I35</f>
        <v>13617.301645263926</v>
      </c>
      <c r="H19" s="78">
        <f>BD_Rail!J35</f>
        <v>14010.989366972544</v>
      </c>
      <c r="I19" s="78">
        <f>BD_Rail!K35</f>
        <v>14205.128784313074</v>
      </c>
      <c r="J19" s="78">
        <f>BD_Rail!L35</f>
        <v>18704.07297736849</v>
      </c>
      <c r="K19" s="78">
        <f>BD_Rail!M35</f>
        <v>16153.644696822801</v>
      </c>
      <c r="L19" s="78">
        <f>BD_Rail!N35</f>
        <v>17055.384212782854</v>
      </c>
      <c r="M19" s="78">
        <f>BD_Rail!O35</f>
        <v>20827.506590273228</v>
      </c>
      <c r="N19" s="78">
        <f>BD_Rail!P35</f>
        <v>22451.170123719836</v>
      </c>
      <c r="O19" s="78">
        <f>BD_Rail!Q35</f>
        <v>20767.762164500746</v>
      </c>
      <c r="P19" s="78">
        <f>BD_Rail!R35</f>
        <v>19112.088119290092</v>
      </c>
      <c r="Q19" s="78">
        <f>BD_Rail!S35</f>
        <v>20911.573702898924</v>
      </c>
      <c r="R19" s="78">
        <f>BD_Rail!T35</f>
        <v>21882.57547163353</v>
      </c>
    </row>
    <row r="20" spans="1:18" s="9" customFormat="1" ht="12.75">
      <c r="A20" s="86" t="s">
        <v>28</v>
      </c>
      <c r="B20" s="86" t="s">
        <v>35</v>
      </c>
      <c r="C20" s="79">
        <f>BD_IWW!E35</f>
        <v>715.243625126626</v>
      </c>
      <c r="D20" s="79">
        <f>BD_IWW!F35</f>
        <v>783.5711048600974</v>
      </c>
      <c r="E20" s="79">
        <f>BD_IWW!G35</f>
        <v>809.3172895629615</v>
      </c>
      <c r="F20" s="79">
        <f>BD_IWW!H35</f>
        <v>824.0239501217052</v>
      </c>
      <c r="G20" s="79">
        <f>BD_IWW!I35</f>
        <v>823.202871636403</v>
      </c>
      <c r="H20" s="79">
        <f>BD_IWW!J35</f>
        <v>820.7489049007786</v>
      </c>
      <c r="I20" s="79">
        <f>BD_IWW!K35</f>
        <v>914.4818066245195</v>
      </c>
      <c r="J20" s="79">
        <f>BD_IWW!L35</f>
        <v>953.40319087989</v>
      </c>
      <c r="K20" s="79">
        <f>BD_IWW!M35</f>
        <v>943.3229527499516</v>
      </c>
      <c r="L20" s="79">
        <f>BD_IWW!N35</f>
        <v>962.582</v>
      </c>
      <c r="M20" s="79">
        <f>BD_IWW!O35</f>
        <v>942.73</v>
      </c>
      <c r="N20" s="79">
        <f>BD_IWW!P35</f>
        <v>966.379</v>
      </c>
      <c r="O20" s="79">
        <f>BD_IWW!Q35</f>
        <v>921.732</v>
      </c>
      <c r="P20" s="79">
        <f>BD_IWW!R35</f>
        <v>924.37</v>
      </c>
      <c r="Q20" s="79">
        <f>BD_IWW!S35</f>
        <v>983.054</v>
      </c>
      <c r="R20" s="79">
        <f>BD_IWW!T35</f>
        <v>999.548</v>
      </c>
    </row>
    <row r="21" spans="1:18" s="9" customFormat="1" ht="12.75">
      <c r="A21" s="88" t="s">
        <v>28</v>
      </c>
      <c r="B21" s="88" t="s">
        <v>187</v>
      </c>
      <c r="C21" s="89">
        <f>BD_Sea!E35</f>
        <v>1326.8997477420105</v>
      </c>
      <c r="D21" s="89">
        <f>BD_Sea!F35</f>
        <v>1350.6447841612398</v>
      </c>
      <c r="E21" s="89">
        <f>BD_Sea!G35</f>
        <v>1343.0241954936064</v>
      </c>
      <c r="F21" s="89">
        <f>BD_Sea!H35</f>
        <v>1512.516547984049</v>
      </c>
      <c r="G21" s="89">
        <f>BD_Sea!I35</f>
        <v>1451.75597122865</v>
      </c>
      <c r="H21" s="89">
        <f>BD_Sea!J35</f>
        <v>1619.612527135442</v>
      </c>
      <c r="I21" s="89">
        <f>BD_Sea!K35</f>
        <v>1622.2827559670004</v>
      </c>
      <c r="J21" s="89">
        <f>BD_Sea!L35</f>
        <v>1702.2924240070588</v>
      </c>
      <c r="K21" s="89">
        <f>BD_Sea!M35</f>
        <v>1834.414827315789</v>
      </c>
      <c r="L21" s="89">
        <f>BD_Sea!N35</f>
        <v>2035.9190978953577</v>
      </c>
      <c r="M21" s="89">
        <f>BD_Sea!O35</f>
        <v>2549.366439641726</v>
      </c>
      <c r="N21" s="89">
        <f>BD_Sea!P35</f>
        <v>2381.196844909001</v>
      </c>
      <c r="O21" s="89">
        <f>BD_Sea!Q35</f>
        <v>2284.343496625702</v>
      </c>
      <c r="P21" s="89">
        <f>BD_Sea!R35</f>
        <v>2443.269066857347</v>
      </c>
      <c r="Q21" s="89">
        <f>BD_Sea!S35</f>
        <v>2846.7618007388824</v>
      </c>
      <c r="R21" s="89">
        <f>BD_Sea!T35</f>
        <v>2935.80569443099</v>
      </c>
    </row>
    <row r="22" spans="1:18" s="9" customFormat="1" ht="12.75">
      <c r="A22" s="86" t="s">
        <v>28</v>
      </c>
      <c r="B22" s="86" t="s">
        <v>38</v>
      </c>
      <c r="C22" s="79">
        <f>BD_Air!E35</f>
        <v>3262.762044667486</v>
      </c>
      <c r="D22" s="79">
        <f>BD_Air!F35</f>
        <v>2819.2553710789466</v>
      </c>
      <c r="E22" s="79">
        <f>BD_Air!G35</f>
        <v>2856.448511949315</v>
      </c>
      <c r="F22" s="79">
        <f>BD_Air!H35</f>
        <v>3144.2993290294066</v>
      </c>
      <c r="G22" s="79">
        <f>BD_Air!I35</f>
        <v>2864.220817075834</v>
      </c>
      <c r="H22" s="79">
        <f>BD_Air!J35</f>
        <v>3492.2238855029937</v>
      </c>
      <c r="I22" s="79">
        <f>BD_Air!K35</f>
        <v>3790.7184737686002</v>
      </c>
      <c r="J22" s="79">
        <f>BD_Air!L35</f>
        <v>3848.4683315487982</v>
      </c>
      <c r="K22" s="79">
        <f>BD_Air!M35</f>
        <v>4283.993054537412</v>
      </c>
      <c r="L22" s="79">
        <f>BD_Air!N35</f>
        <v>4514.238028537762</v>
      </c>
      <c r="M22" s="79">
        <f>BD_Air!O35</f>
        <v>4922.61909087877</v>
      </c>
      <c r="N22" s="79">
        <f>BD_Air!P35</f>
        <v>6399.094190518797</v>
      </c>
      <c r="O22" s="79">
        <f>BD_Air!Q35</f>
        <v>5951.83251902781</v>
      </c>
      <c r="P22" s="79">
        <f>BD_Air!R35</f>
        <v>6093.9481195597</v>
      </c>
      <c r="Q22" s="79">
        <f>BD_Air!S35</f>
        <v>6421.070559001448</v>
      </c>
      <c r="R22" s="79">
        <f>BD_Air!T35</f>
        <v>7751.1500243115515</v>
      </c>
    </row>
    <row r="23" spans="1:18" s="9" customFormat="1" ht="12.75">
      <c r="A23" s="54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s="9" customFormat="1" ht="12.75">
      <c r="A24" s="54"/>
      <c r="B24" s="54"/>
      <c r="C24" s="77">
        <v>1992</v>
      </c>
      <c r="D24" s="77">
        <v>1993</v>
      </c>
      <c r="E24" s="77">
        <v>1994</v>
      </c>
      <c r="F24" s="77">
        <v>1995</v>
      </c>
      <c r="G24" s="77">
        <v>1996</v>
      </c>
      <c r="H24" s="77">
        <v>1997</v>
      </c>
      <c r="I24" s="77">
        <v>1998</v>
      </c>
      <c r="J24" s="77">
        <v>1999</v>
      </c>
      <c r="K24" s="77">
        <v>2000</v>
      </c>
      <c r="L24" s="77">
        <v>2001</v>
      </c>
      <c r="M24" s="77">
        <v>2002</v>
      </c>
      <c r="N24" s="77">
        <v>2003</v>
      </c>
      <c r="O24" s="77">
        <v>2004</v>
      </c>
      <c r="P24" s="77">
        <v>2005</v>
      </c>
      <c r="Q24" s="77">
        <v>2006</v>
      </c>
      <c r="R24" s="77">
        <v>2007</v>
      </c>
    </row>
    <row r="25" spans="1:18" s="12" customFormat="1" ht="12.75">
      <c r="A25" s="85" t="s">
        <v>34</v>
      </c>
      <c r="B25" s="86" t="s">
        <v>36</v>
      </c>
      <c r="C25" s="78">
        <f>BD_Road!E36</f>
        <v>38145.68182596093</v>
      </c>
      <c r="D25" s="78">
        <f>BD_Road!F36</f>
        <v>36849.919029665194</v>
      </c>
      <c r="E25" s="78">
        <f>BD_Road!G36</f>
        <v>36867.226968488554</v>
      </c>
      <c r="F25" s="78">
        <f>BD_Road!H36</f>
        <v>35901.442458271165</v>
      </c>
      <c r="G25" s="78">
        <f>BD_Road!I36</f>
        <v>36222.21213809453</v>
      </c>
      <c r="H25" s="78">
        <f>BD_Road!J36</f>
        <v>36737.72812462972</v>
      </c>
      <c r="I25" s="78">
        <f>BD_Road!K36</f>
        <v>36472.10809677392</v>
      </c>
      <c r="J25" s="78">
        <f>BD_Road!L36</f>
        <v>36407.34193144261</v>
      </c>
      <c r="K25" s="78">
        <f>BD_Road!M36</f>
        <v>39742.316286909525</v>
      </c>
      <c r="L25" s="78">
        <f>BD_Road!N36</f>
        <v>41293.316016405064</v>
      </c>
      <c r="M25" s="78">
        <f>BD_Road!O36</f>
        <v>42635.93616595236</v>
      </c>
      <c r="N25" s="78">
        <f>BD_Road!P36</f>
        <v>42161.94846148543</v>
      </c>
      <c r="O25" s="78">
        <f>BD_Road!Q36</f>
        <v>45928.165003058566</v>
      </c>
      <c r="P25" s="78">
        <f>BD_Road!R36</f>
        <v>48400.56261874815</v>
      </c>
      <c r="Q25" s="78">
        <f>BD_Road!S36</f>
        <v>49325.29194682593</v>
      </c>
      <c r="R25" s="78">
        <f>BD_Road!T36</f>
        <v>48922.044899788256</v>
      </c>
    </row>
    <row r="26" spans="1:18" s="9" customFormat="1" ht="12.75">
      <c r="A26" s="85" t="s">
        <v>34</v>
      </c>
      <c r="B26" s="86" t="s">
        <v>37</v>
      </c>
      <c r="C26" s="78">
        <f>BD_Rail!E36</f>
        <v>15153.466916155397</v>
      </c>
      <c r="D26" s="78">
        <f>BD_Rail!F36</f>
        <v>14572.50778887614</v>
      </c>
      <c r="E26" s="78">
        <f>BD_Rail!G36</f>
        <v>14896.227254581705</v>
      </c>
      <c r="F26" s="78">
        <f>BD_Rail!H36</f>
        <v>14912.734912349362</v>
      </c>
      <c r="G26" s="78">
        <f>BD_Rail!I36</f>
        <v>15665.83657277825</v>
      </c>
      <c r="H26" s="78">
        <f>BD_Rail!J36</f>
        <v>16136.562790980455</v>
      </c>
      <c r="I26" s="78">
        <f>BD_Rail!K36</f>
        <v>16384.206257372498</v>
      </c>
      <c r="J26" s="78">
        <f>BD_Rail!L36</f>
        <v>20783.12581880743</v>
      </c>
      <c r="K26" s="78">
        <f>BD_Rail!M36</f>
        <v>18638.405587892452</v>
      </c>
      <c r="L26" s="78">
        <f>BD_Rail!N36</f>
        <v>19729.067930234658</v>
      </c>
      <c r="M26" s="78">
        <f>BD_Rail!O36</f>
        <v>24096.961683945246</v>
      </c>
      <c r="N26" s="78">
        <f>BD_Rail!P36</f>
        <v>25542.569454210046</v>
      </c>
      <c r="O26" s="78">
        <f>BD_Rail!Q36</f>
        <v>23855.437881337173</v>
      </c>
      <c r="P26" s="78">
        <f>BD_Rail!R36</f>
        <v>22400.4245113283</v>
      </c>
      <c r="Q26" s="78">
        <f>BD_Rail!S36</f>
        <v>24409.345490874923</v>
      </c>
      <c r="R26" s="78">
        <f>BD_Rail!T36</f>
        <v>26163.67715284475</v>
      </c>
    </row>
    <row r="27" spans="1:18" s="9" customFormat="1" ht="12.75">
      <c r="A27" s="86" t="s">
        <v>34</v>
      </c>
      <c r="B27" s="86" t="s">
        <v>35</v>
      </c>
      <c r="C27" s="79">
        <f>BD_IWW!E36</f>
        <v>757.8466789619645</v>
      </c>
      <c r="D27" s="79">
        <f>BD_IWW!F36</f>
        <v>900.7119812609159</v>
      </c>
      <c r="E27" s="79">
        <f>BD_IWW!G36</f>
        <v>915.3549584530347</v>
      </c>
      <c r="F27" s="79">
        <f>BD_IWW!H36</f>
        <v>856.0822142510295</v>
      </c>
      <c r="G27" s="79">
        <f>BD_IWW!I36</f>
        <v>850.4318330837077</v>
      </c>
      <c r="H27" s="79">
        <f>BD_IWW!J36</f>
        <v>881.4542536234497</v>
      </c>
      <c r="I27" s="79">
        <f>BD_IWW!K36</f>
        <v>969.6667607913186</v>
      </c>
      <c r="J27" s="79">
        <f>BD_IWW!L36</f>
        <v>977.952031262037</v>
      </c>
      <c r="K27" s="79">
        <f>BD_IWW!M36</f>
        <v>972.9712572717443</v>
      </c>
      <c r="L27" s="79">
        <f>BD_IWW!N36</f>
        <v>979.5524326610135</v>
      </c>
      <c r="M27" s="79">
        <f>BD_IWW!O36</f>
        <v>970.1964395108013</v>
      </c>
      <c r="N27" s="79">
        <f>BD_IWW!P36</f>
        <v>986.2922035982724</v>
      </c>
      <c r="O27" s="79">
        <f>BD_IWW!Q36</f>
        <v>936.5475417604255</v>
      </c>
      <c r="P27" s="79">
        <f>BD_IWW!R36</f>
        <v>937.3396969084273</v>
      </c>
      <c r="Q27" s="79">
        <f>BD_IWW!S36</f>
        <v>1008.5199660658119</v>
      </c>
      <c r="R27" s="79">
        <f>BD_IWW!T36</f>
        <v>1021.5837034671306</v>
      </c>
    </row>
    <row r="28" spans="1:18" s="9" customFormat="1" ht="12.75">
      <c r="A28" s="88" t="s">
        <v>34</v>
      </c>
      <c r="B28" s="88" t="s">
        <v>187</v>
      </c>
      <c r="C28" s="89">
        <f>BD_Sea!E36</f>
        <v>1394.8942381414938</v>
      </c>
      <c r="D28" s="89">
        <f>BD_Sea!F36</f>
        <v>1417.9513235566806</v>
      </c>
      <c r="E28" s="89">
        <f>BD_Sea!G36</f>
        <v>1420.6792786643719</v>
      </c>
      <c r="F28" s="89">
        <f>BD_Sea!H36</f>
        <v>1604.850632931417</v>
      </c>
      <c r="G28" s="89">
        <f>BD_Sea!I36</f>
        <v>1556.7169261067943</v>
      </c>
      <c r="H28" s="89">
        <f>BD_Sea!J36</f>
        <v>1729.805383747168</v>
      </c>
      <c r="I28" s="89">
        <f>BD_Sea!K36</f>
        <v>1744.2542854499482</v>
      </c>
      <c r="J28" s="89">
        <f>BD_Sea!L36</f>
        <v>1830.7746149227744</v>
      </c>
      <c r="K28" s="89">
        <f>BD_Sea!M36</f>
        <v>1988.00105663909</v>
      </c>
      <c r="L28" s="89">
        <f>BD_Sea!N36</f>
        <v>2096.5964848178864</v>
      </c>
      <c r="M28" s="89">
        <f>BD_Sea!O36</f>
        <v>2671.8329133783222</v>
      </c>
      <c r="N28" s="89">
        <f>BD_Sea!P36</f>
        <v>2490.089608094419</v>
      </c>
      <c r="O28" s="89">
        <f>BD_Sea!Q36</f>
        <v>2448.403130604844</v>
      </c>
      <c r="P28" s="89">
        <f>BD_Sea!R36</f>
        <v>2610.94498985909</v>
      </c>
      <c r="Q28" s="89">
        <f>BD_Sea!S36</f>
        <v>2982.242856363989</v>
      </c>
      <c r="R28" s="89">
        <f>BD_Sea!T36</f>
        <v>3098.077092140085</v>
      </c>
    </row>
    <row r="29" spans="1:18" s="9" customFormat="1" ht="12.75">
      <c r="A29" s="86" t="s">
        <v>34</v>
      </c>
      <c r="B29" s="86" t="s">
        <v>38</v>
      </c>
      <c r="C29" s="79">
        <f>BD_Air!E36</f>
        <v>3459.3968296143657</v>
      </c>
      <c r="D29" s="79">
        <f>BD_Air!F36</f>
        <v>3150.318023656628</v>
      </c>
      <c r="E29" s="79">
        <f>BD_Air!G36</f>
        <v>3077.5658279591516</v>
      </c>
      <c r="F29" s="79">
        <f>BD_Air!H36</f>
        <v>3476.9184826487503</v>
      </c>
      <c r="G29" s="79">
        <f>BD_Air!I36</f>
        <v>3196.339463353574</v>
      </c>
      <c r="H29" s="79">
        <f>BD_Air!J36</f>
        <v>3824.7326318472324</v>
      </c>
      <c r="I29" s="79">
        <f>BD_Air!K36</f>
        <v>4062.163736623325</v>
      </c>
      <c r="J29" s="79">
        <f>BD_Air!L36</f>
        <v>4154.447546126688</v>
      </c>
      <c r="K29" s="79">
        <f>BD_Air!M36</f>
        <v>4827.61471150733</v>
      </c>
      <c r="L29" s="79">
        <f>BD_Air!N36</f>
        <v>5088.299865536078</v>
      </c>
      <c r="M29" s="79">
        <f>BD_Air!O36</f>
        <v>5546.821258320382</v>
      </c>
      <c r="N29" s="79">
        <f>BD_Air!P36</f>
        <v>6835.292414761019</v>
      </c>
      <c r="O29" s="79">
        <f>BD_Air!Q36</f>
        <v>6420.240476221709</v>
      </c>
      <c r="P29" s="79">
        <f>BD_Air!R36</f>
        <v>6631.493961661881</v>
      </c>
      <c r="Q29" s="79">
        <f>BD_Air!S36</f>
        <v>6691.435095382228</v>
      </c>
      <c r="R29" s="79">
        <f>BD_Air!T36</f>
        <v>8060.788596461916</v>
      </c>
    </row>
    <row r="30" spans="1:18" ht="12.75">
      <c r="A30" s="80"/>
      <c r="B30" s="80"/>
      <c r="C30" s="80"/>
      <c r="D30" s="80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2.75">
      <c r="A31" s="64" t="s">
        <v>219</v>
      </c>
      <c r="B31" s="64" t="s">
        <v>36</v>
      </c>
      <c r="C31" s="152">
        <f>SUM(BD_Road!E33:E36)/(C4+C11+C18+C25)</f>
        <v>1</v>
      </c>
      <c r="D31" s="152">
        <f>SUM(BD_Road!F33:F36)/(D4+D11+D18+D25)</f>
        <v>1</v>
      </c>
      <c r="E31" s="152">
        <f>SUM(BD_Road!G33:G36)/(E4+E11+E18+E25)</f>
        <v>1</v>
      </c>
      <c r="F31" s="152">
        <f>SUM(BD_Road!H33:H36)/(F4+F11+F18+F25)</f>
        <v>1</v>
      </c>
      <c r="G31" s="152">
        <f>SUM(BD_Road!I33:I36)/(G4+G11+G18+G25)</f>
        <v>1</v>
      </c>
      <c r="H31" s="152">
        <f>SUM(BD_Road!J33:J36)/(H4+H11+H18+H25)</f>
        <v>1</v>
      </c>
      <c r="I31" s="152">
        <f>SUM(BD_Road!K33:K36)/(I4+I11+I18+I25)</f>
        <v>1</v>
      </c>
      <c r="J31" s="152">
        <f>SUM(BD_Road!L33:L36)/(J4+J11+J18+J25)</f>
        <v>1</v>
      </c>
      <c r="K31" s="152">
        <f>SUM(BD_Road!M33:M36)/(K4+K11+K18+K25)</f>
        <v>1</v>
      </c>
      <c r="L31" s="152">
        <f>SUM(BD_Road!N33:N36)/(L4+L11+L18+L25)</f>
        <v>1</v>
      </c>
      <c r="M31" s="152">
        <f>SUM(BD_Road!O33:O36)/(M4+M11+M18+M25)</f>
        <v>1</v>
      </c>
      <c r="N31" s="152">
        <f>SUM(BD_Road!P33:P36)/(N4+N11+N18+N25)</f>
        <v>1</v>
      </c>
      <c r="O31" s="152">
        <f>SUM(BD_Road!Q33:Q36)/(O4+O11+O18+O25)</f>
        <v>1</v>
      </c>
      <c r="P31" s="152">
        <f>SUM(BD_Road!R33:R36)/(P4+P11+P18+P25)</f>
        <v>1</v>
      </c>
      <c r="Q31" s="152">
        <f>SUM(BD_Road!S33:S36)/(Q4+Q11+Q18+Q25)</f>
        <v>1</v>
      </c>
      <c r="R31" s="152">
        <f>SUM(BD_Road!T33:T36)/(R4+R11+R18+R25)</f>
        <v>1</v>
      </c>
    </row>
    <row r="32" spans="1:18" ht="12.75">
      <c r="A32" s="64"/>
      <c r="B32" s="64" t="s">
        <v>37</v>
      </c>
      <c r="C32" s="152">
        <f>SUM(BD_Rail!E33:E36)/(C5+C12+C19+C26)</f>
        <v>1</v>
      </c>
      <c r="D32" s="152">
        <f>SUM(BD_Rail!F33:F36)/(D5+D12+D19+D26)</f>
        <v>1</v>
      </c>
      <c r="E32" s="152">
        <f>SUM(BD_Rail!G33:G36)/(E5+E12+E19+E26)</f>
        <v>1</v>
      </c>
      <c r="F32" s="152">
        <f>SUM(BD_Rail!H33:H36)/(F5+F12+F19+F26)</f>
        <v>1</v>
      </c>
      <c r="G32" s="152">
        <f>SUM(BD_Rail!I33:I36)/(G5+G12+G19+G26)</f>
        <v>1</v>
      </c>
      <c r="H32" s="152">
        <f>SUM(BD_Rail!J33:J36)/(H5+H12+H19+H26)</f>
        <v>1</v>
      </c>
      <c r="I32" s="152">
        <f>SUM(BD_Rail!K33:K36)/(I5+I12+I19+I26)</f>
        <v>1</v>
      </c>
      <c r="J32" s="152">
        <f>SUM(BD_Rail!L33:L36)/(J5+J12+J19+J26)</f>
        <v>1</v>
      </c>
      <c r="K32" s="152">
        <f>SUM(BD_Rail!M33:M36)/(K5+K12+K19+K26)</f>
        <v>1</v>
      </c>
      <c r="L32" s="152">
        <f>SUM(BD_Rail!N33:N36)/(L5+L12+L19+L26)</f>
        <v>1</v>
      </c>
      <c r="M32" s="152">
        <f>SUM(BD_Rail!O33:O36)/(M5+M12+M19+M26)</f>
        <v>1</v>
      </c>
      <c r="N32" s="152">
        <f>SUM(BD_Rail!P33:P36)/(N5+N12+N19+N26)</f>
        <v>1</v>
      </c>
      <c r="O32" s="152">
        <f>SUM(BD_Rail!Q33:Q36)/(O5+O12+O19+O26)</f>
        <v>1</v>
      </c>
      <c r="P32" s="152">
        <f>SUM(BD_Rail!R33:R36)/(P5+P12+P19+P26)</f>
        <v>1</v>
      </c>
      <c r="Q32" s="152">
        <f>SUM(BD_Rail!S33:S36)/(Q5+Q12+Q19+Q26)</f>
        <v>1</v>
      </c>
      <c r="R32" s="152">
        <f>SUM(BD_Rail!T33:T36)/(R5+R12+R19+R26)</f>
        <v>1</v>
      </c>
    </row>
    <row r="33" spans="1:18" ht="12.75">
      <c r="A33" s="64"/>
      <c r="B33" s="64" t="s">
        <v>35</v>
      </c>
      <c r="C33" s="152">
        <f>SUM(BD_IWW!E33:E36)/(C6+C13+C20+C27)</f>
        <v>1</v>
      </c>
      <c r="D33" s="152">
        <f>SUM(BD_IWW!F33:F36)/(D6+D13+D20+D27)</f>
        <v>1</v>
      </c>
      <c r="E33" s="152">
        <f>SUM(BD_IWW!G33:G36)/(E6+E13+E20+E27)</f>
        <v>1</v>
      </c>
      <c r="F33" s="152">
        <f>SUM(BD_IWW!H33:H36)/(F6+F13+F20+F27)</f>
        <v>1</v>
      </c>
      <c r="G33" s="152">
        <f>SUM(BD_IWW!I33:I36)/(G6+G13+G20+G27)</f>
        <v>1</v>
      </c>
      <c r="H33" s="152">
        <f>SUM(BD_IWW!J33:J36)/(H6+H13+H20+H27)</f>
        <v>1</v>
      </c>
      <c r="I33" s="152">
        <f>SUM(BD_IWW!K33:K36)/(I6+I13+I20+I27)</f>
        <v>1</v>
      </c>
      <c r="J33" s="152">
        <f>SUM(BD_IWW!L33:L36)/(J6+J13+J20+J27)</f>
        <v>1</v>
      </c>
      <c r="K33" s="152">
        <f>SUM(BD_IWW!M33:M36)/(K6+K13+K20+K27)</f>
        <v>1</v>
      </c>
      <c r="L33" s="152">
        <f>SUM(BD_IWW!N33:N36)/(L6+L13+L20+L27)</f>
        <v>1</v>
      </c>
      <c r="M33" s="152">
        <f>SUM(BD_IWW!O33:O36)/(M6+M13+M20+M27)</f>
        <v>1</v>
      </c>
      <c r="N33" s="152">
        <f>SUM(BD_IWW!P33:P36)/(N6+N13+N20+N27)</f>
        <v>1</v>
      </c>
      <c r="O33" s="152">
        <f>SUM(BD_IWW!Q33:Q36)/(O6+O13+O20+O27)</f>
        <v>1</v>
      </c>
      <c r="P33" s="152">
        <f>SUM(BD_IWW!R33:R36)/(P6+P13+P20+P27)</f>
        <v>1</v>
      </c>
      <c r="Q33" s="152">
        <f>SUM(BD_IWW!S33:S36)/(Q6+Q13+Q20+Q27)</f>
        <v>1</v>
      </c>
      <c r="R33" s="152">
        <f>SUM(BD_IWW!T33:T36)/(R6+R13+R20+R27)</f>
        <v>1</v>
      </c>
    </row>
    <row r="34" spans="1:18" ht="12.75">
      <c r="A34" s="64"/>
      <c r="B34" s="64" t="s">
        <v>187</v>
      </c>
      <c r="C34" s="152">
        <f>SUM(BD_Sea!E33:E36)/(C7+C14+C21+C28)</f>
        <v>1</v>
      </c>
      <c r="D34" s="152">
        <f>SUM(BD_Sea!F33:F36)/(D7+D14+D21+D28)</f>
        <v>1</v>
      </c>
      <c r="E34" s="152">
        <f>SUM(BD_Sea!G33:G36)/(E7+E14+E21+E28)</f>
        <v>1</v>
      </c>
      <c r="F34" s="152">
        <f>SUM(BD_Sea!H33:H36)/(F7+F14+F21+F28)</f>
        <v>1</v>
      </c>
      <c r="G34" s="152">
        <f>SUM(BD_Sea!I33:I36)/(G7+G14+G21+G28)</f>
        <v>1</v>
      </c>
      <c r="H34" s="152">
        <f>SUM(BD_Sea!J33:J36)/(H7+H14+H21+H28)</f>
        <v>1</v>
      </c>
      <c r="I34" s="152">
        <f>SUM(BD_Sea!K33:K36)/(I7+I14+I21+I28)</f>
        <v>1</v>
      </c>
      <c r="J34" s="152">
        <f>SUM(BD_Sea!L33:L36)/(J7+J14+J21+J28)</f>
        <v>1</v>
      </c>
      <c r="K34" s="152">
        <f>SUM(BD_Sea!M33:M36)/(K7+K14+K21+K28)</f>
        <v>1</v>
      </c>
      <c r="L34" s="152">
        <f>SUM(BD_Sea!N33:N36)/(L7+L14+L21+L28)</f>
        <v>1</v>
      </c>
      <c r="M34" s="152">
        <f>SUM(BD_Sea!O33:O36)/(M7+M14+M21+M28)</f>
        <v>1</v>
      </c>
      <c r="N34" s="152">
        <f>SUM(BD_Sea!P33:P36)/(N7+N14+N21+N28)</f>
        <v>1</v>
      </c>
      <c r="O34" s="152">
        <f>SUM(BD_Sea!Q33:Q36)/(O7+O14+O21+O28)</f>
        <v>1</v>
      </c>
      <c r="P34" s="152">
        <f>SUM(BD_Sea!R33:R36)/(P7+P14+P21+P28)</f>
        <v>1</v>
      </c>
      <c r="Q34" s="152">
        <f>SUM(BD_Sea!S33:S36)/(Q7+Q14+Q21+Q28)</f>
        <v>1</v>
      </c>
      <c r="R34" s="152">
        <f>SUM(BD_Sea!T33:T36)/(R7+R14+R21+R28)</f>
        <v>1</v>
      </c>
    </row>
    <row r="35" spans="1:18" ht="12.75">
      <c r="A35" s="64"/>
      <c r="B35" s="64" t="s">
        <v>38</v>
      </c>
      <c r="C35" s="152">
        <f>SUM(BD_Air!E33:E36)/(C8+C15+C22+C29)</f>
        <v>1</v>
      </c>
      <c r="D35" s="152">
        <f>SUM(BD_Air!F33:F36)/(D8+D15+D22+D29)</f>
        <v>1</v>
      </c>
      <c r="E35" s="152">
        <f>SUM(BD_Air!G33:G36)/(E8+E15+E22+E29)</f>
        <v>1</v>
      </c>
      <c r="F35" s="152">
        <f>SUM(BD_Air!H33:H36)/(F8+F15+F22+F29)</f>
        <v>1</v>
      </c>
      <c r="G35" s="152">
        <f>SUM(BD_Air!I33:I36)/(G8+G15+G22+G29)</f>
        <v>1</v>
      </c>
      <c r="H35" s="152">
        <f>SUM(BD_Air!J33:J36)/(H8+H15+H22+H29)</f>
        <v>1</v>
      </c>
      <c r="I35" s="152">
        <f>SUM(BD_Air!K33:K36)/(I8+I15+I22+I29)</f>
        <v>1</v>
      </c>
      <c r="J35" s="152">
        <f>SUM(BD_Air!L33:L36)/(J8+J15+J22+J29)</f>
        <v>1</v>
      </c>
      <c r="K35" s="152">
        <f>SUM(BD_Air!M33:M36)/(K8+K15+K22+K29)</f>
        <v>1</v>
      </c>
      <c r="L35" s="152">
        <f>SUM(BD_Air!N33:N36)/(L8+L15+L22+L29)</f>
        <v>1</v>
      </c>
      <c r="M35" s="152">
        <f>SUM(BD_Air!O33:O36)/(M8+M15+M22+M29)</f>
        <v>1</v>
      </c>
      <c r="N35" s="152">
        <f>SUM(BD_Air!P33:P36)/(N8+N15+N22+N29)</f>
        <v>1</v>
      </c>
      <c r="O35" s="152">
        <f>SUM(BD_Air!Q33:Q36)/(O8+O15+O22+O29)</f>
        <v>1</v>
      </c>
      <c r="P35" s="152">
        <f>SUM(BD_Air!R33:R36)/(P8+P15+P22+P29)</f>
        <v>1</v>
      </c>
      <c r="Q35" s="152">
        <f>SUM(BD_Air!S33:S36)/(Q8+Q15+Q22+Q29)</f>
        <v>1</v>
      </c>
      <c r="R35" s="152">
        <f>SUM(BD_Air!T33:T36)/(R8+R15+R22+R29)</f>
        <v>1</v>
      </c>
    </row>
    <row r="36" spans="1:18" ht="12.75">
      <c r="A36" s="80"/>
      <c r="B36" s="80"/>
      <c r="C36" s="80"/>
      <c r="D36" s="80"/>
      <c r="E36" s="80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s="8" customFormat="1" ht="12.75">
      <c r="A37" s="82" t="s">
        <v>186</v>
      </c>
      <c r="B37" s="83"/>
      <c r="C37" s="77">
        <v>1992</v>
      </c>
      <c r="D37" s="77">
        <v>1993</v>
      </c>
      <c r="E37" s="77">
        <v>1994</v>
      </c>
      <c r="F37" s="77">
        <v>1995</v>
      </c>
      <c r="G37" s="77">
        <v>1996</v>
      </c>
      <c r="H37" s="77">
        <v>1997</v>
      </c>
      <c r="I37" s="77">
        <v>1998</v>
      </c>
      <c r="J37" s="77">
        <v>1999</v>
      </c>
      <c r="K37" s="77">
        <v>2000</v>
      </c>
      <c r="L37" s="77">
        <v>2001</v>
      </c>
      <c r="M37" s="77">
        <v>2002</v>
      </c>
      <c r="N37" s="77">
        <v>2003</v>
      </c>
      <c r="O37" s="77">
        <v>2004</v>
      </c>
      <c r="P37" s="77">
        <v>2005</v>
      </c>
      <c r="Q37" s="77">
        <v>2006</v>
      </c>
      <c r="R37" s="77">
        <v>2007</v>
      </c>
    </row>
    <row r="38" spans="1:18" ht="12.75">
      <c r="A38" s="85" t="s">
        <v>34</v>
      </c>
      <c r="B38" s="86" t="s">
        <v>36</v>
      </c>
      <c r="C38" s="78">
        <f>+C25*10^6</f>
        <v>38145681825.96093</v>
      </c>
      <c r="D38" s="78">
        <f>+D25*10^6</f>
        <v>36849919029.66519</v>
      </c>
      <c r="E38" s="78">
        <f>+E25*10^6</f>
        <v>36867226968.488556</v>
      </c>
      <c r="F38" s="78">
        <f>+F25*10^6</f>
        <v>35901442458.271164</v>
      </c>
      <c r="G38" s="78">
        <f aca="true" t="shared" si="0" ref="G38:R38">+G25*10^6</f>
        <v>36222212138.09453</v>
      </c>
      <c r="H38" s="78">
        <f t="shared" si="0"/>
        <v>36737728124.62972</v>
      </c>
      <c r="I38" s="78">
        <f t="shared" si="0"/>
        <v>36472108096.77392</v>
      </c>
      <c r="J38" s="78">
        <f t="shared" si="0"/>
        <v>36407341931.442604</v>
      </c>
      <c r="K38" s="78">
        <f t="shared" si="0"/>
        <v>39742316286.90952</v>
      </c>
      <c r="L38" s="78">
        <f t="shared" si="0"/>
        <v>41293316016.40507</v>
      </c>
      <c r="M38" s="78">
        <f t="shared" si="0"/>
        <v>42635936165.952354</v>
      </c>
      <c r="N38" s="78">
        <f t="shared" si="0"/>
        <v>42161948461.48543</v>
      </c>
      <c r="O38" s="78">
        <f t="shared" si="0"/>
        <v>45928165003.05856</v>
      </c>
      <c r="P38" s="78">
        <f t="shared" si="0"/>
        <v>48400562618.748146</v>
      </c>
      <c r="Q38" s="78">
        <f t="shared" si="0"/>
        <v>49325291946.82593</v>
      </c>
      <c r="R38" s="78">
        <f t="shared" si="0"/>
        <v>48922044899.78825</v>
      </c>
    </row>
    <row r="39" spans="1:18" ht="12.75">
      <c r="A39" s="85" t="s">
        <v>34</v>
      </c>
      <c r="B39" s="86" t="s">
        <v>37</v>
      </c>
      <c r="C39" s="78">
        <f aca="true" t="shared" si="1" ref="C39:E42">+C26*10^6</f>
        <v>15153466916.155397</v>
      </c>
      <c r="D39" s="78">
        <f t="shared" si="1"/>
        <v>14572507788.87614</v>
      </c>
      <c r="E39" s="78">
        <f t="shared" si="1"/>
        <v>14896227254.581705</v>
      </c>
      <c r="F39" s="78">
        <f aca="true" t="shared" si="2" ref="F39:R42">+F26*10^6</f>
        <v>14912734912.349361</v>
      </c>
      <c r="G39" s="78">
        <f t="shared" si="2"/>
        <v>15665836572.77825</v>
      </c>
      <c r="H39" s="78">
        <f t="shared" si="2"/>
        <v>16136562790.980455</v>
      </c>
      <c r="I39" s="78">
        <f t="shared" si="2"/>
        <v>16384206257.372498</v>
      </c>
      <c r="J39" s="78">
        <f t="shared" si="2"/>
        <v>20783125818.80743</v>
      </c>
      <c r="K39" s="78">
        <f t="shared" si="2"/>
        <v>18638405587.892452</v>
      </c>
      <c r="L39" s="78">
        <f t="shared" si="2"/>
        <v>19729067930.234657</v>
      </c>
      <c r="M39" s="78">
        <f t="shared" si="2"/>
        <v>24096961683.945248</v>
      </c>
      <c r="N39" s="78">
        <f t="shared" si="2"/>
        <v>25542569454.210045</v>
      </c>
      <c r="O39" s="78">
        <f t="shared" si="2"/>
        <v>23855437881.337173</v>
      </c>
      <c r="P39" s="78">
        <f t="shared" si="2"/>
        <v>22400424511.3283</v>
      </c>
      <c r="Q39" s="78">
        <f t="shared" si="2"/>
        <v>24409345490.874924</v>
      </c>
      <c r="R39" s="78">
        <f t="shared" si="2"/>
        <v>26163677152.84475</v>
      </c>
    </row>
    <row r="40" spans="1:18" ht="12.75">
      <c r="A40" s="86" t="s">
        <v>34</v>
      </c>
      <c r="B40" s="86" t="s">
        <v>35</v>
      </c>
      <c r="C40" s="78">
        <f t="shared" si="1"/>
        <v>757846678.9619645</v>
      </c>
      <c r="D40" s="78">
        <f t="shared" si="1"/>
        <v>900711981.2609159</v>
      </c>
      <c r="E40" s="78">
        <f t="shared" si="1"/>
        <v>915354958.4530346</v>
      </c>
      <c r="F40" s="78">
        <f>+F27*10^6</f>
        <v>856082214.2510295</v>
      </c>
      <c r="G40" s="78">
        <f t="shared" si="2"/>
        <v>850431833.0837077</v>
      </c>
      <c r="H40" s="78">
        <f t="shared" si="2"/>
        <v>881454253.6234498</v>
      </c>
      <c r="I40" s="78">
        <f t="shared" si="2"/>
        <v>969666760.7913185</v>
      </c>
      <c r="J40" s="78">
        <f t="shared" si="2"/>
        <v>977952031.262037</v>
      </c>
      <c r="K40" s="78">
        <f t="shared" si="2"/>
        <v>972971257.2717444</v>
      </c>
      <c r="L40" s="78">
        <f t="shared" si="2"/>
        <v>979552432.6610135</v>
      </c>
      <c r="M40" s="78">
        <f t="shared" si="2"/>
        <v>970196439.5108013</v>
      </c>
      <c r="N40" s="78">
        <f t="shared" si="2"/>
        <v>986292203.5982724</v>
      </c>
      <c r="O40" s="78">
        <f t="shared" si="2"/>
        <v>936547541.7604254</v>
      </c>
      <c r="P40" s="78">
        <f t="shared" si="2"/>
        <v>937339696.9084274</v>
      </c>
      <c r="Q40" s="78">
        <f t="shared" si="2"/>
        <v>1008519966.0658119</v>
      </c>
      <c r="R40" s="78">
        <f t="shared" si="2"/>
        <v>1021583703.4671305</v>
      </c>
    </row>
    <row r="41" spans="1:18" ht="12.75">
      <c r="A41" s="86" t="s">
        <v>34</v>
      </c>
      <c r="B41" s="86" t="s">
        <v>39</v>
      </c>
      <c r="C41" s="78">
        <f t="shared" si="1"/>
        <v>1394894238.1414938</v>
      </c>
      <c r="D41" s="78">
        <f t="shared" si="1"/>
        <v>1417951323.5566807</v>
      </c>
      <c r="E41" s="78">
        <f t="shared" si="1"/>
        <v>1420679278.664372</v>
      </c>
      <c r="F41" s="78">
        <f t="shared" si="2"/>
        <v>1604850632.931417</v>
      </c>
      <c r="G41" s="78">
        <f t="shared" si="2"/>
        <v>1556716926.1067944</v>
      </c>
      <c r="H41" s="78">
        <f t="shared" si="2"/>
        <v>1729805383.747168</v>
      </c>
      <c r="I41" s="78">
        <f t="shared" si="2"/>
        <v>1744254285.449948</v>
      </c>
      <c r="J41" s="78">
        <f t="shared" si="2"/>
        <v>1830774614.9227743</v>
      </c>
      <c r="K41" s="78">
        <f t="shared" si="2"/>
        <v>1988001056.6390898</v>
      </c>
      <c r="L41" s="78">
        <f t="shared" si="2"/>
        <v>2096596484.8178864</v>
      </c>
      <c r="M41" s="78">
        <f t="shared" si="2"/>
        <v>2671832913.378322</v>
      </c>
      <c r="N41" s="78">
        <f t="shared" si="2"/>
        <v>2490089608.094419</v>
      </c>
      <c r="O41" s="78">
        <f t="shared" si="2"/>
        <v>2448403130.604844</v>
      </c>
      <c r="P41" s="78">
        <f t="shared" si="2"/>
        <v>2610944989.8590903</v>
      </c>
      <c r="Q41" s="78">
        <f t="shared" si="2"/>
        <v>2982242856.3639894</v>
      </c>
      <c r="R41" s="78">
        <f t="shared" si="2"/>
        <v>3098077092.1400847</v>
      </c>
    </row>
    <row r="42" spans="1:18" ht="12.75">
      <c r="A42" s="86" t="s">
        <v>34</v>
      </c>
      <c r="B42" s="86" t="s">
        <v>38</v>
      </c>
      <c r="C42" s="78">
        <f t="shared" si="1"/>
        <v>3459396829.6143656</v>
      </c>
      <c r="D42" s="78">
        <f t="shared" si="1"/>
        <v>3150318023.656628</v>
      </c>
      <c r="E42" s="78">
        <f t="shared" si="1"/>
        <v>3077565827.9591517</v>
      </c>
      <c r="F42" s="78">
        <f t="shared" si="2"/>
        <v>3476918482.6487503</v>
      </c>
      <c r="G42" s="78">
        <f t="shared" si="2"/>
        <v>3196339463.3535743</v>
      </c>
      <c r="H42" s="78">
        <f t="shared" si="2"/>
        <v>3824732631.8472323</v>
      </c>
      <c r="I42" s="78">
        <f t="shared" si="2"/>
        <v>4062163736.623325</v>
      </c>
      <c r="J42" s="78">
        <f t="shared" si="2"/>
        <v>4154447546.1266885</v>
      </c>
      <c r="K42" s="78">
        <f t="shared" si="2"/>
        <v>4827614711.50733</v>
      </c>
      <c r="L42" s="78">
        <f t="shared" si="2"/>
        <v>5088299865.5360775</v>
      </c>
      <c r="M42" s="78">
        <f t="shared" si="2"/>
        <v>5546821258.320382</v>
      </c>
      <c r="N42" s="78">
        <f t="shared" si="2"/>
        <v>6835292414.76102</v>
      </c>
      <c r="O42" s="78">
        <f t="shared" si="2"/>
        <v>6420240476.221709</v>
      </c>
      <c r="P42" s="78">
        <f t="shared" si="2"/>
        <v>6631493961.661881</v>
      </c>
      <c r="Q42" s="78">
        <f t="shared" si="2"/>
        <v>6691435095.382228</v>
      </c>
      <c r="R42" s="78">
        <f t="shared" si="2"/>
        <v>8060788596.461916</v>
      </c>
    </row>
    <row r="43" spans="1:18" s="90" customFormat="1" ht="12">
      <c r="A43" s="95" t="s">
        <v>188</v>
      </c>
      <c r="B43" s="96"/>
      <c r="C43" s="91">
        <f aca="true" t="shared" si="3" ref="C43:R43">C38+C39+C40+C41+C42</f>
        <v>58911286488.83415</v>
      </c>
      <c r="D43" s="91">
        <f t="shared" si="3"/>
        <v>56891408147.015564</v>
      </c>
      <c r="E43" s="91">
        <f t="shared" si="3"/>
        <v>57177054288.14682</v>
      </c>
      <c r="F43" s="91">
        <f t="shared" si="3"/>
        <v>56752028700.45173</v>
      </c>
      <c r="G43" s="91">
        <f t="shared" si="3"/>
        <v>57491536933.41686</v>
      </c>
      <c r="H43" s="91">
        <f t="shared" si="3"/>
        <v>59310283184.828026</v>
      </c>
      <c r="I43" s="91">
        <f t="shared" si="3"/>
        <v>59632399137.01101</v>
      </c>
      <c r="J43" s="91">
        <f t="shared" si="3"/>
        <v>64153641942.56153</v>
      </c>
      <c r="K43" s="91">
        <f t="shared" si="3"/>
        <v>66169308900.22014</v>
      </c>
      <c r="L43" s="91">
        <f t="shared" si="3"/>
        <v>69186832729.6547</v>
      </c>
      <c r="M43" s="91">
        <f t="shared" si="3"/>
        <v>75921748461.10712</v>
      </c>
      <c r="N43" s="91">
        <f t="shared" si="3"/>
        <v>78016192142.14919</v>
      </c>
      <c r="O43" s="91">
        <f t="shared" si="3"/>
        <v>79588794032.98271</v>
      </c>
      <c r="P43" s="91">
        <f t="shared" si="3"/>
        <v>80980765778.50584</v>
      </c>
      <c r="Q43" s="91">
        <f t="shared" si="3"/>
        <v>84416835355.51288</v>
      </c>
      <c r="R43" s="91">
        <f t="shared" si="3"/>
        <v>87266171444.70213</v>
      </c>
    </row>
    <row r="44" spans="1:18" s="62" customFormat="1" ht="12">
      <c r="A44" s="123" t="s">
        <v>236</v>
      </c>
      <c r="B44" s="54"/>
      <c r="C44" s="55"/>
      <c r="D44" s="55"/>
      <c r="E44" s="5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s="62" customFormat="1" ht="12">
      <c r="A45" s="54"/>
      <c r="B45" s="54"/>
      <c r="C45" s="55"/>
      <c r="D45" s="55"/>
      <c r="E45" s="5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 s="62" customFormat="1" ht="12">
      <c r="A46" s="94" t="s">
        <v>189</v>
      </c>
      <c r="B46" s="83"/>
      <c r="C46" s="77">
        <v>1992</v>
      </c>
      <c r="D46" s="77">
        <v>1993</v>
      </c>
      <c r="E46" s="77">
        <v>1994</v>
      </c>
      <c r="F46" s="77">
        <v>1995</v>
      </c>
      <c r="G46" s="77">
        <v>1996</v>
      </c>
      <c r="H46" s="77">
        <v>1997</v>
      </c>
      <c r="I46" s="77">
        <v>1998</v>
      </c>
      <c r="J46" s="77">
        <v>1999</v>
      </c>
      <c r="K46" s="77">
        <v>2000</v>
      </c>
      <c r="L46" s="77">
        <v>2001</v>
      </c>
      <c r="M46" s="77">
        <v>2002</v>
      </c>
      <c r="N46" s="77">
        <v>2003</v>
      </c>
      <c r="O46" s="77">
        <v>2004</v>
      </c>
      <c r="P46" s="77">
        <v>2005</v>
      </c>
      <c r="Q46" s="77">
        <v>2006</v>
      </c>
      <c r="R46" s="77">
        <v>2007</v>
      </c>
    </row>
    <row r="47" spans="1:18" s="62" customFormat="1" ht="12">
      <c r="A47" s="85" t="s">
        <v>34</v>
      </c>
      <c r="B47" s="86" t="s">
        <v>36</v>
      </c>
      <c r="C47" s="93">
        <f aca="true" t="shared" si="4" ref="C47:R47">C38/C43*100</f>
        <v>64.75105892177542</v>
      </c>
      <c r="D47" s="93">
        <f t="shared" si="4"/>
        <v>64.77237992499624</v>
      </c>
      <c r="E47" s="93">
        <f t="shared" si="4"/>
        <v>64.47905969883337</v>
      </c>
      <c r="F47" s="93">
        <f t="shared" si="4"/>
        <v>63.260192243991796</v>
      </c>
      <c r="G47" s="93">
        <f t="shared" si="4"/>
        <v>63.004424773066766</v>
      </c>
      <c r="H47" s="93">
        <f t="shared" si="4"/>
        <v>61.941582727137416</v>
      </c>
      <c r="I47" s="93">
        <f t="shared" si="4"/>
        <v>61.16156422446771</v>
      </c>
      <c r="J47" s="93">
        <f t="shared" si="4"/>
        <v>56.75023401483437</v>
      </c>
      <c r="K47" s="93">
        <f t="shared" si="4"/>
        <v>60.06155564785913</v>
      </c>
      <c r="L47" s="93">
        <f t="shared" si="4"/>
        <v>59.68377852727753</v>
      </c>
      <c r="M47" s="93">
        <f t="shared" si="4"/>
        <v>56.15773744698954</v>
      </c>
      <c r="N47" s="93">
        <f t="shared" si="4"/>
        <v>54.04256129889596</v>
      </c>
      <c r="O47" s="93">
        <f t="shared" si="4"/>
        <v>57.70682363150934</v>
      </c>
      <c r="P47" s="93">
        <f t="shared" si="4"/>
        <v>59.76797348537147</v>
      </c>
      <c r="Q47" s="93">
        <f t="shared" si="4"/>
        <v>58.430633817410346</v>
      </c>
      <c r="R47" s="93">
        <f t="shared" si="4"/>
        <v>56.060720998615864</v>
      </c>
    </row>
    <row r="48" spans="1:18" s="62" customFormat="1" ht="12">
      <c r="A48" s="85" t="s">
        <v>34</v>
      </c>
      <c r="B48" s="86" t="s">
        <v>37</v>
      </c>
      <c r="C48" s="93">
        <f aca="true" t="shared" si="5" ref="C48:R48">C39/C43*100</f>
        <v>25.722519094923406</v>
      </c>
      <c r="D48" s="93">
        <f t="shared" si="5"/>
        <v>25.614602034842747</v>
      </c>
      <c r="E48" s="93">
        <f t="shared" si="5"/>
        <v>26.05280639242339</v>
      </c>
      <c r="F48" s="93">
        <f t="shared" si="5"/>
        <v>26.277007630972427</v>
      </c>
      <c r="G48" s="93">
        <f t="shared" si="5"/>
        <v>27.248943772231122</v>
      </c>
      <c r="H48" s="93">
        <f t="shared" si="5"/>
        <v>27.207023680352783</v>
      </c>
      <c r="I48" s="93">
        <f t="shared" si="5"/>
        <v>27.47534309281814</v>
      </c>
      <c r="J48" s="93">
        <f t="shared" si="5"/>
        <v>32.395862790479015</v>
      </c>
      <c r="K48" s="93">
        <f t="shared" si="5"/>
        <v>28.167750121129714</v>
      </c>
      <c r="L48" s="93">
        <f t="shared" si="5"/>
        <v>28.515639684396817</v>
      </c>
      <c r="M48" s="93">
        <f t="shared" si="5"/>
        <v>31.739208029817096</v>
      </c>
      <c r="N48" s="93">
        <f t="shared" si="5"/>
        <v>32.740087349649514</v>
      </c>
      <c r="O48" s="93">
        <f t="shared" si="5"/>
        <v>29.973362671447372</v>
      </c>
      <c r="P48" s="93">
        <f t="shared" si="5"/>
        <v>27.661413541823887</v>
      </c>
      <c r="Q48" s="93">
        <f t="shared" si="5"/>
        <v>28.91525770668547</v>
      </c>
      <c r="R48" s="93">
        <f t="shared" si="5"/>
        <v>29.981465577900206</v>
      </c>
    </row>
    <row r="49" spans="1:18" s="62" customFormat="1" ht="12">
      <c r="A49" s="86" t="s">
        <v>34</v>
      </c>
      <c r="B49" s="86" t="s">
        <v>35</v>
      </c>
      <c r="C49" s="93">
        <f>C40/C43*100</f>
        <v>1.2864201821591592</v>
      </c>
      <c r="D49" s="93">
        <f aca="true" t="shared" si="6" ref="D49:R49">D40/D43*100</f>
        <v>1.583212668832782</v>
      </c>
      <c r="E49" s="93">
        <f t="shared" si="6"/>
        <v>1.6009131107735184</v>
      </c>
      <c r="F49" s="93">
        <f t="shared" si="6"/>
        <v>1.508460990477712</v>
      </c>
      <c r="G49" s="93">
        <f t="shared" si="6"/>
        <v>1.4792296022084523</v>
      </c>
      <c r="H49" s="93">
        <f t="shared" si="6"/>
        <v>1.4861744141004738</v>
      </c>
      <c r="I49" s="93">
        <f t="shared" si="6"/>
        <v>1.6260737029268577</v>
      </c>
      <c r="J49" s="93">
        <f t="shared" si="6"/>
        <v>1.5243905126035147</v>
      </c>
      <c r="K49" s="93">
        <f t="shared" si="6"/>
        <v>1.4704268088078933</v>
      </c>
      <c r="L49" s="93">
        <f t="shared" si="6"/>
        <v>1.4158075951945694</v>
      </c>
      <c r="M49" s="93">
        <f t="shared" si="6"/>
        <v>1.277890010670407</v>
      </c>
      <c r="N49" s="93">
        <f t="shared" si="6"/>
        <v>1.264214743781908</v>
      </c>
      <c r="O49" s="93">
        <f t="shared" si="6"/>
        <v>1.1767329221904117</v>
      </c>
      <c r="P49" s="93">
        <f t="shared" si="6"/>
        <v>1.1574843580414977</v>
      </c>
      <c r="Q49" s="93">
        <f t="shared" si="6"/>
        <v>1.1946905635807514</v>
      </c>
      <c r="R49" s="93">
        <f t="shared" si="6"/>
        <v>1.1706525983146592</v>
      </c>
    </row>
    <row r="50" spans="1:18" s="62" customFormat="1" ht="12">
      <c r="A50" s="86" t="s">
        <v>34</v>
      </c>
      <c r="B50" s="86" t="s">
        <v>39</v>
      </c>
      <c r="C50" s="93">
        <f aca="true" t="shared" si="7" ref="C50:R50">C41/C43*100</f>
        <v>2.367787772561846</v>
      </c>
      <c r="D50" s="93">
        <f t="shared" si="7"/>
        <v>2.4923821886997257</v>
      </c>
      <c r="E50" s="93">
        <f t="shared" si="7"/>
        <v>2.4847017677839487</v>
      </c>
      <c r="F50" s="93">
        <f t="shared" si="7"/>
        <v>2.8278295413933683</v>
      </c>
      <c r="G50" s="93">
        <f t="shared" si="7"/>
        <v>2.707732318775349</v>
      </c>
      <c r="H50" s="93">
        <f t="shared" si="7"/>
        <v>2.916535364291877</v>
      </c>
      <c r="I50" s="93">
        <f t="shared" si="7"/>
        <v>2.925011085739416</v>
      </c>
      <c r="J50" s="93">
        <f t="shared" si="7"/>
        <v>2.8537345028079866</v>
      </c>
      <c r="K50" s="93">
        <f t="shared" si="7"/>
        <v>3.0044156266417885</v>
      </c>
      <c r="L50" s="93">
        <f t="shared" si="7"/>
        <v>3.030340314912621</v>
      </c>
      <c r="M50" s="93">
        <f t="shared" si="7"/>
        <v>3.5191930738358033</v>
      </c>
      <c r="N50" s="93">
        <f t="shared" si="7"/>
        <v>3.1917599920249353</v>
      </c>
      <c r="O50" s="93">
        <f t="shared" si="7"/>
        <v>3.076316409054008</v>
      </c>
      <c r="P50" s="93">
        <f t="shared" si="7"/>
        <v>3.224154482559975</v>
      </c>
      <c r="Q50" s="93">
        <f t="shared" si="7"/>
        <v>3.532758416972845</v>
      </c>
      <c r="R50" s="93">
        <f t="shared" si="7"/>
        <v>3.550146684392176</v>
      </c>
    </row>
    <row r="51" spans="1:18" s="62" customFormat="1" ht="12">
      <c r="A51" s="86" t="s">
        <v>34</v>
      </c>
      <c r="B51" s="86" t="s">
        <v>38</v>
      </c>
      <c r="C51" s="92">
        <f aca="true" t="shared" si="8" ref="C51:R51">C42/C43*100</f>
        <v>5.8722140285801565</v>
      </c>
      <c r="D51" s="92">
        <f t="shared" si="8"/>
        <v>5.537423182628481</v>
      </c>
      <c r="E51" s="92">
        <f t="shared" si="8"/>
        <v>5.382519030185771</v>
      </c>
      <c r="F51" s="92">
        <f t="shared" si="8"/>
        <v>6.126509593164685</v>
      </c>
      <c r="G51" s="92">
        <f t="shared" si="8"/>
        <v>5.559669533718288</v>
      </c>
      <c r="H51" s="92">
        <f t="shared" si="8"/>
        <v>6.448683814117456</v>
      </c>
      <c r="I51" s="92">
        <f t="shared" si="8"/>
        <v>6.8120078940478725</v>
      </c>
      <c r="J51" s="92">
        <f t="shared" si="8"/>
        <v>6.475778179275116</v>
      </c>
      <c r="K51" s="92">
        <f t="shared" si="8"/>
        <v>7.295851795561475</v>
      </c>
      <c r="L51" s="92">
        <f t="shared" si="8"/>
        <v>7.354433878218482</v>
      </c>
      <c r="M51" s="92">
        <f t="shared" si="8"/>
        <v>7.305971438687144</v>
      </c>
      <c r="N51" s="92">
        <f t="shared" si="8"/>
        <v>8.761376615647677</v>
      </c>
      <c r="O51" s="92">
        <f t="shared" si="8"/>
        <v>8.066764365798873</v>
      </c>
      <c r="P51" s="92">
        <f t="shared" si="8"/>
        <v>8.188974132203171</v>
      </c>
      <c r="Q51" s="92">
        <f t="shared" si="8"/>
        <v>7.926659495350581</v>
      </c>
      <c r="R51" s="92">
        <f t="shared" si="8"/>
        <v>9.237014140777092</v>
      </c>
    </row>
    <row r="52" spans="1:18" s="90" customFormat="1" ht="12">
      <c r="A52" s="95" t="s">
        <v>188</v>
      </c>
      <c r="B52" s="96"/>
      <c r="C52" s="97">
        <f aca="true" t="shared" si="9" ref="C52:R52">C47+C48+C49+C50+C51</f>
        <v>100</v>
      </c>
      <c r="D52" s="97">
        <f t="shared" si="9"/>
        <v>99.99999999999999</v>
      </c>
      <c r="E52" s="97">
        <f t="shared" si="9"/>
        <v>100</v>
      </c>
      <c r="F52" s="97">
        <f t="shared" si="9"/>
        <v>99.99999999999999</v>
      </c>
      <c r="G52" s="97">
        <f t="shared" si="9"/>
        <v>99.99999999999997</v>
      </c>
      <c r="H52" s="97">
        <f t="shared" si="9"/>
        <v>100.00000000000001</v>
      </c>
      <c r="I52" s="97">
        <f t="shared" si="9"/>
        <v>99.99999999999999</v>
      </c>
      <c r="J52" s="97">
        <f t="shared" si="9"/>
        <v>100</v>
      </c>
      <c r="K52" s="97">
        <f t="shared" si="9"/>
        <v>100</v>
      </c>
      <c r="L52" s="97">
        <f t="shared" si="9"/>
        <v>100.00000000000003</v>
      </c>
      <c r="M52" s="97">
        <f t="shared" si="9"/>
        <v>99.99999999999999</v>
      </c>
      <c r="N52" s="97">
        <f t="shared" si="9"/>
        <v>100</v>
      </c>
      <c r="O52" s="97">
        <f t="shared" si="9"/>
        <v>100</v>
      </c>
      <c r="P52" s="97">
        <f t="shared" si="9"/>
        <v>100.00000000000001</v>
      </c>
      <c r="Q52" s="97">
        <f t="shared" si="9"/>
        <v>99.99999999999999</v>
      </c>
      <c r="R52" s="97">
        <f t="shared" si="9"/>
        <v>100</v>
      </c>
    </row>
    <row r="53" spans="1:18" s="62" customFormat="1" ht="12">
      <c r="A53" s="54"/>
      <c r="B53" s="5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s="62" customFormat="1" ht="12">
      <c r="A54" s="54"/>
      <c r="B54" s="5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18" s="90" customFormat="1" ht="13.5" customHeight="1">
      <c r="A55" s="82" t="s">
        <v>190</v>
      </c>
      <c r="B55" s="83"/>
      <c r="C55" s="77">
        <v>1992</v>
      </c>
      <c r="D55" s="77">
        <v>1993</v>
      </c>
      <c r="E55" s="77">
        <v>1994</v>
      </c>
      <c r="F55" s="77">
        <v>1995</v>
      </c>
      <c r="G55" s="77">
        <v>1996</v>
      </c>
      <c r="H55" s="77">
        <v>1997</v>
      </c>
      <c r="I55" s="77">
        <v>1998</v>
      </c>
      <c r="J55" s="77">
        <v>1999</v>
      </c>
      <c r="K55" s="77">
        <v>2000</v>
      </c>
      <c r="L55" s="77">
        <v>2001</v>
      </c>
      <c r="M55" s="77">
        <v>2002</v>
      </c>
      <c r="N55" s="77">
        <v>2003</v>
      </c>
      <c r="O55" s="77">
        <v>2004</v>
      </c>
      <c r="P55" s="77">
        <v>2005</v>
      </c>
      <c r="Q55" s="77">
        <v>2006</v>
      </c>
      <c r="R55" s="77">
        <v>2007</v>
      </c>
    </row>
    <row r="56" spans="1:18" s="62" customFormat="1" ht="12">
      <c r="A56" s="85" t="s">
        <v>34</v>
      </c>
      <c r="B56" s="86" t="s">
        <v>36</v>
      </c>
      <c r="C56" s="98">
        <f>C38/$K$38*100</f>
        <v>95.98253295197468</v>
      </c>
      <c r="D56" s="98">
        <f aca="true" t="shared" si="10" ref="D56:K56">D38/$K$38*100</f>
        <v>92.72212209181919</v>
      </c>
      <c r="E56" s="98">
        <f t="shared" si="10"/>
        <v>92.76567249461507</v>
      </c>
      <c r="F56" s="98">
        <f t="shared" si="10"/>
        <v>90.33555618421897</v>
      </c>
      <c r="G56" s="98">
        <f t="shared" si="10"/>
        <v>91.14267994999963</v>
      </c>
      <c r="H56" s="98">
        <f t="shared" si="10"/>
        <v>92.4398262532336</v>
      </c>
      <c r="I56" s="98">
        <f t="shared" si="10"/>
        <v>91.77147057426856</v>
      </c>
      <c r="J56" s="98">
        <f t="shared" si="10"/>
        <v>91.6085053236683</v>
      </c>
      <c r="K56" s="98">
        <f t="shared" si="10"/>
        <v>100</v>
      </c>
      <c r="L56" s="98">
        <f aca="true" t="shared" si="11" ref="L56:R56">L38/$K$38*100</f>
        <v>103.90264049608608</v>
      </c>
      <c r="M56" s="98">
        <f t="shared" si="11"/>
        <v>107.28095428095605</v>
      </c>
      <c r="N56" s="98">
        <f t="shared" si="11"/>
        <v>106.08830184206674</v>
      </c>
      <c r="O56" s="98">
        <f t="shared" si="11"/>
        <v>115.56489227123019</v>
      </c>
      <c r="P56" s="98">
        <f t="shared" si="11"/>
        <v>121.78596302573968</v>
      </c>
      <c r="Q56" s="98">
        <f t="shared" si="11"/>
        <v>124.11277589039993</v>
      </c>
      <c r="R56" s="98">
        <f t="shared" si="11"/>
        <v>123.09812177681849</v>
      </c>
    </row>
    <row r="57" spans="1:18" s="62" customFormat="1" ht="12">
      <c r="A57" s="85" t="s">
        <v>34</v>
      </c>
      <c r="B57" s="86" t="s">
        <v>37</v>
      </c>
      <c r="C57" s="98">
        <f aca="true" t="shared" si="12" ref="C57:K57">C39/$K$39*100</f>
        <v>81.30237774200559</v>
      </c>
      <c r="D57" s="98">
        <f t="shared" si="12"/>
        <v>78.18537760731246</v>
      </c>
      <c r="E57" s="98">
        <f t="shared" si="12"/>
        <v>79.9222185842888</v>
      </c>
      <c r="F57" s="98">
        <f t="shared" si="12"/>
        <v>80.01078655588816</v>
      </c>
      <c r="G57" s="98">
        <f t="shared" si="12"/>
        <v>84.05137713579326</v>
      </c>
      <c r="H57" s="98">
        <f t="shared" si="12"/>
        <v>86.57694841377848</v>
      </c>
      <c r="I57" s="98">
        <f t="shared" si="12"/>
        <v>87.90562143371166</v>
      </c>
      <c r="J57" s="98">
        <f>J39/$K$39*100</f>
        <v>111.50699409775797</v>
      </c>
      <c r="K57" s="98">
        <f t="shared" si="12"/>
        <v>100</v>
      </c>
      <c r="L57" s="98">
        <f aca="true" t="shared" si="13" ref="L57:R57">L39/$K$39*100</f>
        <v>105.85169336078135</v>
      </c>
      <c r="M57" s="98">
        <f t="shared" si="13"/>
        <v>129.28660431983886</v>
      </c>
      <c r="N57" s="98">
        <f t="shared" si="13"/>
        <v>137.042674244639</v>
      </c>
      <c r="O57" s="98">
        <f t="shared" si="13"/>
        <v>127.99076492269121</v>
      </c>
      <c r="P57" s="98">
        <f t="shared" si="13"/>
        <v>120.18423145528962</v>
      </c>
      <c r="Q57" s="98">
        <f t="shared" si="13"/>
        <v>130.96262647450533</v>
      </c>
      <c r="R57" s="98">
        <f t="shared" si="13"/>
        <v>140.3750821359995</v>
      </c>
    </row>
    <row r="58" spans="1:18" s="62" customFormat="1" ht="12">
      <c r="A58" s="86" t="s">
        <v>34</v>
      </c>
      <c r="B58" s="86" t="s">
        <v>35</v>
      </c>
      <c r="C58" s="98">
        <f aca="true" t="shared" si="14" ref="C58:K58">C40/$K$40*100</f>
        <v>77.88993490794384</v>
      </c>
      <c r="D58" s="98">
        <f t="shared" si="14"/>
        <v>92.57333909190218</v>
      </c>
      <c r="E58" s="98">
        <f t="shared" si="14"/>
        <v>94.07831440157149</v>
      </c>
      <c r="F58" s="98">
        <f t="shared" si="14"/>
        <v>87.98638272743256</v>
      </c>
      <c r="G58" s="98">
        <f t="shared" si="14"/>
        <v>87.40564808341381</v>
      </c>
      <c r="H58" s="98">
        <f t="shared" si="14"/>
        <v>90.59406915010908</v>
      </c>
      <c r="I58" s="98">
        <f t="shared" si="14"/>
        <v>99.66037059617857</v>
      </c>
      <c r="J58" s="98">
        <f t="shared" si="14"/>
        <v>100.51191378502371</v>
      </c>
      <c r="K58" s="98">
        <f t="shared" si="14"/>
        <v>100</v>
      </c>
      <c r="L58" s="98">
        <f aca="true" t="shared" si="15" ref="L58:R58">L40/$K$40*100</f>
        <v>100.67639977441092</v>
      </c>
      <c r="M58" s="98">
        <f t="shared" si="15"/>
        <v>99.71480989389926</v>
      </c>
      <c r="N58" s="98">
        <f t="shared" si="15"/>
        <v>101.36909967555266</v>
      </c>
      <c r="O58" s="98">
        <f t="shared" si="15"/>
        <v>96.25644486010279</v>
      </c>
      <c r="P58" s="98">
        <f t="shared" si="15"/>
        <v>96.3378609494355</v>
      </c>
      <c r="Q58" s="98">
        <f t="shared" si="15"/>
        <v>103.65362373537607</v>
      </c>
      <c r="R58" s="98">
        <f t="shared" si="15"/>
        <v>104.99628800255599</v>
      </c>
    </row>
    <row r="59" spans="1:18" s="62" customFormat="1" ht="12">
      <c r="A59" s="86" t="s">
        <v>34</v>
      </c>
      <c r="B59" s="86" t="s">
        <v>39</v>
      </c>
      <c r="C59" s="98">
        <f aca="true" t="shared" si="16" ref="C59:K59">C41/$K$41*100</f>
        <v>70.16566885028215</v>
      </c>
      <c r="D59" s="98">
        <f t="shared" si="16"/>
        <v>71.3254813834891</v>
      </c>
      <c r="E59" s="98">
        <f t="shared" si="16"/>
        <v>71.46270239243077</v>
      </c>
      <c r="F59" s="98">
        <f t="shared" si="16"/>
        <v>80.72685009758365</v>
      </c>
      <c r="G59" s="98">
        <f t="shared" si="16"/>
        <v>78.30563876754555</v>
      </c>
      <c r="H59" s="98">
        <f t="shared" si="16"/>
        <v>87.01229699905558</v>
      </c>
      <c r="I59" s="98">
        <f t="shared" si="16"/>
        <v>87.73910253341516</v>
      </c>
      <c r="J59" s="98">
        <f t="shared" si="16"/>
        <v>92.09122946935842</v>
      </c>
      <c r="K59" s="98">
        <f t="shared" si="16"/>
        <v>100</v>
      </c>
      <c r="L59" s="98">
        <f aca="true" t="shared" si="17" ref="L59:R59">L41/$K$41*100</f>
        <v>105.4625437856853</v>
      </c>
      <c r="M59" s="98">
        <f t="shared" si="17"/>
        <v>134.3979624384766</v>
      </c>
      <c r="N59" s="98">
        <f t="shared" si="17"/>
        <v>125.25594992912926</v>
      </c>
      <c r="O59" s="98">
        <f t="shared" si="17"/>
        <v>123.15904573733522</v>
      </c>
      <c r="P59" s="98">
        <f t="shared" si="17"/>
        <v>131.3351912535272</v>
      </c>
      <c r="Q59" s="98">
        <f t="shared" si="17"/>
        <v>150.01213638214875</v>
      </c>
      <c r="R59" s="98">
        <f t="shared" si="17"/>
        <v>155.8388051049473</v>
      </c>
    </row>
    <row r="60" spans="1:18" s="62" customFormat="1" ht="12">
      <c r="A60" s="86" t="s">
        <v>34</v>
      </c>
      <c r="B60" s="86" t="s">
        <v>38</v>
      </c>
      <c r="C60" s="98">
        <f aca="true" t="shared" si="18" ref="C60:K60">C42/$K$42*100</f>
        <v>71.65851121814639</v>
      </c>
      <c r="D60" s="98">
        <f t="shared" si="18"/>
        <v>65.25620232591017</v>
      </c>
      <c r="E60" s="98">
        <f t="shared" si="18"/>
        <v>63.74920145601762</v>
      </c>
      <c r="F60" s="98">
        <f t="shared" si="18"/>
        <v>72.02145760226067</v>
      </c>
      <c r="G60" s="98">
        <f t="shared" si="18"/>
        <v>66.2094979480162</v>
      </c>
      <c r="H60" s="98">
        <f t="shared" si="18"/>
        <v>79.2261367240103</v>
      </c>
      <c r="I60" s="98">
        <f t="shared" si="18"/>
        <v>84.14432342623698</v>
      </c>
      <c r="J60" s="98">
        <f t="shared" si="18"/>
        <v>86.05590533610629</v>
      </c>
      <c r="K60" s="98">
        <f t="shared" si="18"/>
        <v>100</v>
      </c>
      <c r="L60" s="98">
        <f aca="true" t="shared" si="19" ref="L60:R60">L42/$K$42*100</f>
        <v>105.39987487831964</v>
      </c>
      <c r="M60" s="98">
        <f t="shared" si="19"/>
        <v>114.89776193403995</v>
      </c>
      <c r="N60" s="98">
        <f t="shared" si="19"/>
        <v>141.58736401370422</v>
      </c>
      <c r="O60" s="98">
        <f t="shared" si="19"/>
        <v>132.989910336426</v>
      </c>
      <c r="P60" s="98">
        <f t="shared" si="19"/>
        <v>137.3658495541233</v>
      </c>
      <c r="Q60" s="98">
        <f t="shared" si="19"/>
        <v>138.60747999280488</v>
      </c>
      <c r="R60" s="98">
        <f t="shared" si="19"/>
        <v>166.97249217606037</v>
      </c>
    </row>
    <row r="61" spans="1:18" s="90" customFormat="1" ht="12">
      <c r="A61" s="95" t="s">
        <v>188</v>
      </c>
      <c r="B61" s="96"/>
      <c r="C61" s="99">
        <f aca="true" t="shared" si="20" ref="C61:K61">C43/$K$43*100</f>
        <v>89.03113462718689</v>
      </c>
      <c r="D61" s="99">
        <f t="shared" si="20"/>
        <v>85.9785436671325</v>
      </c>
      <c r="E61" s="99">
        <f t="shared" si="20"/>
        <v>86.4102334427685</v>
      </c>
      <c r="F61" s="99">
        <f t="shared" si="20"/>
        <v>85.76790304101684</v>
      </c>
      <c r="G61" s="99">
        <f t="shared" si="20"/>
        <v>86.88550309647498</v>
      </c>
      <c r="H61" s="99">
        <f t="shared" si="20"/>
        <v>89.63412822440814</v>
      </c>
      <c r="I61" s="99">
        <f t="shared" si="20"/>
        <v>90.120933901446</v>
      </c>
      <c r="J61" s="99">
        <f t="shared" si="20"/>
        <v>96.95377359812215</v>
      </c>
      <c r="K61" s="99">
        <f t="shared" si="20"/>
        <v>100</v>
      </c>
      <c r="L61" s="99">
        <f aca="true" t="shared" si="21" ref="L61:R61">L43/$K$43*100</f>
        <v>104.56030730800714</v>
      </c>
      <c r="M61" s="99">
        <f t="shared" si="21"/>
        <v>114.73861480946272</v>
      </c>
      <c r="N61" s="99">
        <f t="shared" si="21"/>
        <v>117.90389447741327</v>
      </c>
      <c r="O61" s="99">
        <f t="shared" si="21"/>
        <v>120.28052786979906</v>
      </c>
      <c r="P61" s="99">
        <f t="shared" si="21"/>
        <v>122.38417950022813</v>
      </c>
      <c r="Q61" s="99">
        <f t="shared" si="21"/>
        <v>127.57702439179025</v>
      </c>
      <c r="R61" s="99">
        <f t="shared" si="21"/>
        <v>131.88315382936062</v>
      </c>
    </row>
    <row r="62" spans="1:18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2.75">
      <c r="A63" s="62" t="s">
        <v>237</v>
      </c>
      <c r="B63" s="62"/>
      <c r="C63" s="153">
        <f>(C43/$K43)/C61*100</f>
        <v>1</v>
      </c>
      <c r="D63" s="153">
        <f aca="true" t="shared" si="22" ref="D63:R63">(D43/$K43)/D61*100</f>
        <v>1</v>
      </c>
      <c r="E63" s="153">
        <f t="shared" si="22"/>
        <v>1</v>
      </c>
      <c r="F63" s="153">
        <f t="shared" si="22"/>
        <v>1</v>
      </c>
      <c r="G63" s="153">
        <f t="shared" si="22"/>
        <v>1</v>
      </c>
      <c r="H63" s="153">
        <f t="shared" si="22"/>
        <v>1</v>
      </c>
      <c r="I63" s="153">
        <f t="shared" si="22"/>
        <v>0.9999999999999999</v>
      </c>
      <c r="J63" s="153">
        <f t="shared" si="22"/>
        <v>1</v>
      </c>
      <c r="K63" s="153">
        <f t="shared" si="22"/>
        <v>1</v>
      </c>
      <c r="L63" s="153">
        <f t="shared" si="22"/>
        <v>1</v>
      </c>
      <c r="M63" s="153">
        <f t="shared" si="22"/>
        <v>1</v>
      </c>
      <c r="N63" s="153">
        <f t="shared" si="22"/>
        <v>1</v>
      </c>
      <c r="O63" s="153">
        <f t="shared" si="22"/>
        <v>1</v>
      </c>
      <c r="P63" s="153">
        <f t="shared" si="22"/>
        <v>1</v>
      </c>
      <c r="Q63" s="153">
        <f t="shared" si="22"/>
        <v>1</v>
      </c>
      <c r="R63" s="153">
        <f t="shared" si="22"/>
        <v>1</v>
      </c>
    </row>
    <row r="64" spans="1:18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</sheetData>
  <sheetProtection/>
  <conditionalFormatting sqref="C31:R35">
    <cfRule type="cellIs" priority="2" dxfId="0" operator="notEqual">
      <formula>1</formula>
    </cfRule>
  </conditionalFormatting>
  <conditionalFormatting sqref="C52:R52">
    <cfRule type="cellIs" priority="1" dxfId="0" operator="notEqual">
      <formula>100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2009-09-07T13:03:21Z</dcterms:created>
  <dcterms:modified xsi:type="dcterms:W3CDTF">2010-03-19T14:43:53Z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