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9020" windowHeight="12405"/>
  </bookViews>
  <sheets>
    <sheet name="Introduction" sheetId="1" r:id="rId1"/>
    <sheet name="Odyssee data" sheetId="2" r:id="rId2"/>
    <sheet name="Eurostat data" sheetId="3" r:id="rId3"/>
    <sheet name="EEA data" sheetId="4" r:id="rId4"/>
  </sheets>
  <definedNames>
    <definedName name="_ftn1" localSheetId="0">Introduction!#REF!</definedName>
    <definedName name="_ftnref1" localSheetId="0">Introduction!$B$74</definedName>
  </definedNames>
  <calcPr calcId="144525"/>
</workbook>
</file>

<file path=xl/calcChain.xml><?xml version="1.0" encoding="utf-8"?>
<calcChain xmlns="http://schemas.openxmlformats.org/spreadsheetml/2006/main">
  <c r="V27" i="4" l="1"/>
  <c r="U27" i="4"/>
  <c r="T27" i="4"/>
  <c r="S27" i="4"/>
  <c r="R27" i="4"/>
  <c r="Q27" i="4"/>
  <c r="P27" i="4"/>
  <c r="O27" i="4"/>
  <c r="N27" i="4"/>
  <c r="M27" i="4"/>
  <c r="L27" i="4"/>
  <c r="K27" i="4"/>
  <c r="J27" i="4"/>
  <c r="I27" i="4"/>
  <c r="H27" i="4"/>
  <c r="G27" i="4"/>
  <c r="F27" i="4"/>
  <c r="E27" i="4"/>
  <c r="D27" i="4"/>
  <c r="V26" i="4"/>
  <c r="U26" i="4"/>
  <c r="T26" i="4"/>
  <c r="S26" i="4"/>
  <c r="R26" i="4"/>
  <c r="Q26" i="4"/>
  <c r="P26" i="4"/>
  <c r="O26" i="4"/>
  <c r="N26" i="4"/>
  <c r="M26" i="4"/>
  <c r="L26" i="4"/>
  <c r="K26" i="4"/>
  <c r="J26" i="4"/>
  <c r="I26" i="4"/>
  <c r="H26" i="4"/>
  <c r="G26" i="4"/>
  <c r="F26" i="4"/>
  <c r="E26" i="4"/>
  <c r="D26" i="4"/>
  <c r="AA18" i="4"/>
  <c r="Z18" i="4"/>
  <c r="Y18" i="4"/>
  <c r="X18" i="4"/>
  <c r="W18" i="4"/>
  <c r="T139" i="3"/>
  <c r="U138" i="3"/>
  <c r="T138" i="3"/>
  <c r="S138" i="3"/>
  <c r="R138" i="3"/>
  <c r="Q138" i="3"/>
  <c r="P138" i="3"/>
  <c r="O138" i="3"/>
  <c r="N138" i="3"/>
  <c r="M138" i="3"/>
  <c r="L138" i="3"/>
  <c r="K138" i="3"/>
  <c r="J138" i="3"/>
  <c r="I138" i="3"/>
  <c r="H138" i="3"/>
  <c r="G138" i="3"/>
  <c r="F138" i="3"/>
  <c r="E138" i="3"/>
  <c r="D138" i="3"/>
  <c r="AA137" i="3"/>
  <c r="W133" i="3"/>
  <c r="F133" i="3"/>
  <c r="E133" i="3" s="1"/>
  <c r="D133" i="3" s="1"/>
  <c r="C133" i="3" s="1"/>
  <c r="B133" i="3" s="1"/>
  <c r="V133" i="3" s="1"/>
  <c r="U121" i="3"/>
  <c r="U120" i="3"/>
  <c r="U119" i="3"/>
  <c r="U118" i="3"/>
  <c r="T118" i="3"/>
  <c r="Y118" i="3" s="1"/>
  <c r="S118" i="3"/>
  <c r="R118" i="3"/>
  <c r="Q118" i="3"/>
  <c r="P118" i="3"/>
  <c r="O118" i="3"/>
  <c r="N118" i="3"/>
  <c r="M118" i="3"/>
  <c r="L118" i="3"/>
  <c r="K118" i="3"/>
  <c r="W118" i="3" s="1"/>
  <c r="J118" i="3"/>
  <c r="I118" i="3"/>
  <c r="H118" i="3"/>
  <c r="G118" i="3"/>
  <c r="F118" i="3"/>
  <c r="E118" i="3"/>
  <c r="D118" i="3"/>
  <c r="C118" i="3"/>
  <c r="B118" i="3"/>
  <c r="U117" i="3"/>
  <c r="T117" i="3"/>
  <c r="Y117" i="3" s="1"/>
  <c r="S117" i="3"/>
  <c r="R117" i="3"/>
  <c r="Q117" i="3"/>
  <c r="P117" i="3"/>
  <c r="O117" i="3"/>
  <c r="N117" i="3"/>
  <c r="M117" i="3"/>
  <c r="L117" i="3"/>
  <c r="K117" i="3"/>
  <c r="W117" i="3" s="1"/>
  <c r="J117" i="3"/>
  <c r="I117" i="3"/>
  <c r="H117" i="3"/>
  <c r="G117" i="3"/>
  <c r="F117" i="3"/>
  <c r="E117" i="3"/>
  <c r="D117" i="3"/>
  <c r="C117" i="3"/>
  <c r="B117" i="3"/>
  <c r="Z116" i="3"/>
  <c r="U116" i="3"/>
  <c r="R116" i="3"/>
  <c r="Y116" i="3" s="1"/>
  <c r="Q116" i="3"/>
  <c r="P116" i="3"/>
  <c r="O116" i="3"/>
  <c r="N116" i="3"/>
  <c r="M116" i="3"/>
  <c r="L116" i="3"/>
  <c r="K116" i="3"/>
  <c r="W116" i="3" s="1"/>
  <c r="J116" i="3"/>
  <c r="I116" i="3"/>
  <c r="H116" i="3"/>
  <c r="G116" i="3"/>
  <c r="F116" i="3"/>
  <c r="E116" i="3"/>
  <c r="D116" i="3"/>
  <c r="C116" i="3"/>
  <c r="B116" i="3"/>
  <c r="U115" i="3"/>
  <c r="T115" i="3"/>
  <c r="Y115" i="3" s="1"/>
  <c r="S115" i="3"/>
  <c r="R115" i="3"/>
  <c r="Q115" i="3"/>
  <c r="P115" i="3"/>
  <c r="O115" i="3"/>
  <c r="N115" i="3"/>
  <c r="M115" i="3"/>
  <c r="L115" i="3"/>
  <c r="K115" i="3"/>
  <c r="W115" i="3" s="1"/>
  <c r="J115" i="3"/>
  <c r="I115" i="3"/>
  <c r="H115" i="3"/>
  <c r="G115" i="3"/>
  <c r="F115" i="3"/>
  <c r="E115" i="3"/>
  <c r="D115" i="3"/>
  <c r="C115" i="3"/>
  <c r="B115" i="3"/>
  <c r="U114" i="3"/>
  <c r="T114" i="3"/>
  <c r="Y114" i="3" s="1"/>
  <c r="S114" i="3"/>
  <c r="R114" i="3"/>
  <c r="Q114" i="3"/>
  <c r="P114" i="3"/>
  <c r="O114" i="3"/>
  <c r="N114" i="3"/>
  <c r="M114" i="3"/>
  <c r="L114" i="3"/>
  <c r="K114" i="3"/>
  <c r="W114" i="3" s="1"/>
  <c r="J114" i="3"/>
  <c r="I114" i="3"/>
  <c r="H114" i="3"/>
  <c r="G114" i="3"/>
  <c r="F114" i="3"/>
  <c r="E114" i="3"/>
  <c r="D114" i="3"/>
  <c r="C114" i="3"/>
  <c r="B114" i="3"/>
  <c r="U113" i="3"/>
  <c r="T113" i="3"/>
  <c r="Y113" i="3" s="1"/>
  <c r="S113" i="3"/>
  <c r="R113" i="3"/>
  <c r="Q113" i="3"/>
  <c r="P113" i="3"/>
  <c r="O113" i="3"/>
  <c r="N113" i="3"/>
  <c r="M113" i="3"/>
  <c r="L113" i="3"/>
  <c r="K113" i="3"/>
  <c r="W113" i="3" s="1"/>
  <c r="J113" i="3"/>
  <c r="I113" i="3"/>
  <c r="H113" i="3"/>
  <c r="G113" i="3"/>
  <c r="F113" i="3"/>
  <c r="E113" i="3"/>
  <c r="D113" i="3"/>
  <c r="C113" i="3"/>
  <c r="B113" i="3"/>
  <c r="U112" i="3"/>
  <c r="T112" i="3"/>
  <c r="Y112" i="3" s="1"/>
  <c r="S112" i="3"/>
  <c r="R112" i="3"/>
  <c r="Q112" i="3"/>
  <c r="P112" i="3"/>
  <c r="O112" i="3"/>
  <c r="N112" i="3"/>
  <c r="M112" i="3"/>
  <c r="L112" i="3"/>
  <c r="K112" i="3"/>
  <c r="W112" i="3" s="1"/>
  <c r="J112" i="3"/>
  <c r="I112" i="3"/>
  <c r="H112" i="3"/>
  <c r="G112" i="3"/>
  <c r="F112" i="3"/>
  <c r="E112" i="3"/>
  <c r="D112" i="3"/>
  <c r="C112" i="3"/>
  <c r="B112" i="3"/>
  <c r="U111" i="3"/>
  <c r="T111" i="3"/>
  <c r="Y111" i="3" s="1"/>
  <c r="S111" i="3"/>
  <c r="R111" i="3"/>
  <c r="Q111" i="3"/>
  <c r="P111" i="3"/>
  <c r="O111" i="3"/>
  <c r="N111" i="3"/>
  <c r="M111" i="3"/>
  <c r="L111" i="3"/>
  <c r="K111" i="3"/>
  <c r="W111" i="3" s="1"/>
  <c r="J111" i="3"/>
  <c r="I111" i="3"/>
  <c r="H111" i="3"/>
  <c r="G111" i="3"/>
  <c r="F111" i="3"/>
  <c r="E111" i="3"/>
  <c r="D111" i="3"/>
  <c r="C111" i="3"/>
  <c r="B111" i="3"/>
  <c r="U110" i="3"/>
  <c r="T110" i="3"/>
  <c r="Y110" i="3" s="1"/>
  <c r="S110" i="3"/>
  <c r="R110" i="3"/>
  <c r="Q110" i="3"/>
  <c r="P110" i="3"/>
  <c r="O110" i="3"/>
  <c r="N110" i="3"/>
  <c r="M110" i="3"/>
  <c r="L110" i="3"/>
  <c r="K110" i="3"/>
  <c r="W110" i="3" s="1"/>
  <c r="J110" i="3"/>
  <c r="I110" i="3"/>
  <c r="H110" i="3"/>
  <c r="G110" i="3"/>
  <c r="F110" i="3"/>
  <c r="E110" i="3"/>
  <c r="D110" i="3"/>
  <c r="C110" i="3"/>
  <c r="B110" i="3"/>
  <c r="U109" i="3"/>
  <c r="T109" i="3"/>
  <c r="Y109" i="3" s="1"/>
  <c r="S109" i="3"/>
  <c r="R109" i="3"/>
  <c r="Q109" i="3"/>
  <c r="P109" i="3"/>
  <c r="O109" i="3"/>
  <c r="N109" i="3"/>
  <c r="M109" i="3"/>
  <c r="L109" i="3"/>
  <c r="K109" i="3"/>
  <c r="W109" i="3" s="1"/>
  <c r="J109" i="3"/>
  <c r="I109" i="3"/>
  <c r="H109" i="3"/>
  <c r="G109" i="3"/>
  <c r="F109" i="3"/>
  <c r="E109" i="3"/>
  <c r="D109" i="3"/>
  <c r="C109" i="3"/>
  <c r="B109" i="3"/>
  <c r="U108" i="3"/>
  <c r="T108" i="3"/>
  <c r="Y108" i="3" s="1"/>
  <c r="S108" i="3"/>
  <c r="R108" i="3"/>
  <c r="Q108" i="3"/>
  <c r="P108" i="3"/>
  <c r="O108" i="3"/>
  <c r="N108" i="3"/>
  <c r="M108" i="3"/>
  <c r="L108" i="3"/>
  <c r="K108" i="3"/>
  <c r="W108" i="3" s="1"/>
  <c r="J108" i="3"/>
  <c r="I108" i="3"/>
  <c r="H108" i="3"/>
  <c r="G108" i="3"/>
  <c r="F108" i="3"/>
  <c r="E108" i="3"/>
  <c r="D108" i="3"/>
  <c r="C108" i="3"/>
  <c r="B108" i="3"/>
  <c r="U107" i="3"/>
  <c r="T107" i="3"/>
  <c r="S107" i="3"/>
  <c r="R107" i="3"/>
  <c r="Q107" i="3"/>
  <c r="P107" i="3"/>
  <c r="O107" i="3"/>
  <c r="N107" i="3"/>
  <c r="M107" i="3"/>
  <c r="L107" i="3"/>
  <c r="K107" i="3"/>
  <c r="J107" i="3"/>
  <c r="I107" i="3"/>
  <c r="H107" i="3"/>
  <c r="G107" i="3"/>
  <c r="F107" i="3"/>
  <c r="E107" i="3"/>
  <c r="D107" i="3"/>
  <c r="C107" i="3"/>
  <c r="B107" i="3"/>
  <c r="X106" i="3"/>
  <c r="U106" i="3"/>
  <c r="T106" i="3"/>
  <c r="S106" i="3"/>
  <c r="R106" i="3"/>
  <c r="Q106" i="3"/>
  <c r="P106" i="3"/>
  <c r="O106" i="3"/>
  <c r="N106" i="3"/>
  <c r="M106" i="3"/>
  <c r="L106" i="3"/>
  <c r="K106" i="3"/>
  <c r="W106" i="3" s="1"/>
  <c r="J106" i="3"/>
  <c r="I106" i="3"/>
  <c r="H106" i="3"/>
  <c r="G106" i="3"/>
  <c r="F106" i="3"/>
  <c r="E106" i="3"/>
  <c r="D106" i="3"/>
  <c r="C106" i="3"/>
  <c r="B106" i="3"/>
  <c r="U105" i="3"/>
  <c r="T105" i="3"/>
  <c r="X105" i="3" s="1"/>
  <c r="S105" i="3"/>
  <c r="R105" i="3"/>
  <c r="Q105" i="3"/>
  <c r="P105" i="3"/>
  <c r="O105" i="3"/>
  <c r="N105" i="3"/>
  <c r="M105" i="3"/>
  <c r="L105" i="3"/>
  <c r="K105" i="3"/>
  <c r="J105" i="3"/>
  <c r="I105" i="3"/>
  <c r="H105" i="3"/>
  <c r="G105" i="3"/>
  <c r="F105" i="3"/>
  <c r="E105" i="3"/>
  <c r="D105" i="3"/>
  <c r="C105" i="3"/>
  <c r="B105" i="3"/>
  <c r="X104" i="3"/>
  <c r="U104" i="3"/>
  <c r="T104" i="3"/>
  <c r="S104" i="3"/>
  <c r="R104" i="3"/>
  <c r="Q104" i="3"/>
  <c r="P104" i="3"/>
  <c r="O104" i="3"/>
  <c r="N104" i="3"/>
  <c r="M104" i="3"/>
  <c r="L104" i="3"/>
  <c r="K104" i="3"/>
  <c r="W104" i="3" s="1"/>
  <c r="J104" i="3"/>
  <c r="I104" i="3"/>
  <c r="H104" i="3"/>
  <c r="G104" i="3"/>
  <c r="F104" i="3"/>
  <c r="E104" i="3"/>
  <c r="D104" i="3"/>
  <c r="C104" i="3"/>
  <c r="B104" i="3"/>
  <c r="U103" i="3"/>
  <c r="T103" i="3"/>
  <c r="Z103" i="3" s="1"/>
  <c r="S103" i="3"/>
  <c r="R103" i="3"/>
  <c r="Q103" i="3"/>
  <c r="P103" i="3"/>
  <c r="O103" i="3"/>
  <c r="N103" i="3"/>
  <c r="M103" i="3"/>
  <c r="L103" i="3"/>
  <c r="K103" i="3"/>
  <c r="W103" i="3" s="1"/>
  <c r="J103" i="3"/>
  <c r="I103" i="3"/>
  <c r="H103" i="3"/>
  <c r="G103" i="3"/>
  <c r="F103" i="3"/>
  <c r="E103" i="3"/>
  <c r="D103" i="3"/>
  <c r="C103" i="3"/>
  <c r="B103" i="3"/>
  <c r="U102" i="3"/>
  <c r="T102" i="3"/>
  <c r="Z102" i="3" s="1"/>
  <c r="S102" i="3"/>
  <c r="R102" i="3"/>
  <c r="Q102" i="3"/>
  <c r="P102" i="3"/>
  <c r="O102" i="3"/>
  <c r="N102" i="3"/>
  <c r="M102" i="3"/>
  <c r="L102" i="3"/>
  <c r="K102" i="3"/>
  <c r="W102" i="3" s="1"/>
  <c r="J102" i="3"/>
  <c r="I102" i="3"/>
  <c r="H102" i="3"/>
  <c r="G102" i="3"/>
  <c r="F102" i="3"/>
  <c r="E102" i="3"/>
  <c r="D102" i="3"/>
  <c r="C102" i="3"/>
  <c r="B102" i="3"/>
  <c r="U101" i="3"/>
  <c r="T101" i="3"/>
  <c r="Z101" i="3" s="1"/>
  <c r="S101" i="3"/>
  <c r="R101" i="3"/>
  <c r="Q101" i="3"/>
  <c r="P101" i="3"/>
  <c r="O101" i="3"/>
  <c r="N101" i="3"/>
  <c r="M101" i="3"/>
  <c r="L101" i="3"/>
  <c r="K101" i="3"/>
  <c r="W101" i="3" s="1"/>
  <c r="J101" i="3"/>
  <c r="I101" i="3"/>
  <c r="H101" i="3"/>
  <c r="G101" i="3"/>
  <c r="F101" i="3"/>
  <c r="E101" i="3"/>
  <c r="D101" i="3"/>
  <c r="C101" i="3"/>
  <c r="B101" i="3"/>
  <c r="U100" i="3"/>
  <c r="T100" i="3"/>
  <c r="Z100" i="3" s="1"/>
  <c r="S100" i="3"/>
  <c r="R100" i="3"/>
  <c r="Q100" i="3"/>
  <c r="P100" i="3"/>
  <c r="O100" i="3"/>
  <c r="N100" i="3"/>
  <c r="M100" i="3"/>
  <c r="L100" i="3"/>
  <c r="K100" i="3"/>
  <c r="W100" i="3" s="1"/>
  <c r="J100" i="3"/>
  <c r="I100" i="3"/>
  <c r="H100" i="3"/>
  <c r="G100" i="3"/>
  <c r="F100" i="3"/>
  <c r="E100" i="3"/>
  <c r="D100" i="3"/>
  <c r="C100" i="3"/>
  <c r="B100" i="3"/>
  <c r="U99" i="3"/>
  <c r="T99" i="3"/>
  <c r="Z99" i="3" s="1"/>
  <c r="S99" i="3"/>
  <c r="R99" i="3"/>
  <c r="Q99" i="3"/>
  <c r="P99" i="3"/>
  <c r="O99" i="3"/>
  <c r="N99" i="3"/>
  <c r="M99" i="3"/>
  <c r="L99" i="3"/>
  <c r="K99" i="3"/>
  <c r="W99" i="3" s="1"/>
  <c r="J99" i="3"/>
  <c r="I99" i="3"/>
  <c r="H99" i="3"/>
  <c r="G99" i="3"/>
  <c r="F99" i="3"/>
  <c r="E99" i="3"/>
  <c r="D99" i="3"/>
  <c r="C99" i="3"/>
  <c r="B99" i="3"/>
  <c r="U98" i="3"/>
  <c r="T98" i="3"/>
  <c r="Z98" i="3" s="1"/>
  <c r="S98" i="3"/>
  <c r="R98" i="3"/>
  <c r="Q98" i="3"/>
  <c r="P98" i="3"/>
  <c r="O98" i="3"/>
  <c r="N98" i="3"/>
  <c r="M98" i="3"/>
  <c r="L98" i="3"/>
  <c r="K98" i="3"/>
  <c r="W98" i="3" s="1"/>
  <c r="J98" i="3"/>
  <c r="I98" i="3"/>
  <c r="H98" i="3"/>
  <c r="G98" i="3"/>
  <c r="F98" i="3"/>
  <c r="E98" i="3"/>
  <c r="D98" i="3"/>
  <c r="C98" i="3"/>
  <c r="B98" i="3"/>
  <c r="U97" i="3"/>
  <c r="T97" i="3"/>
  <c r="Z97" i="3" s="1"/>
  <c r="S97" i="3"/>
  <c r="R97" i="3"/>
  <c r="Q97" i="3"/>
  <c r="P97" i="3"/>
  <c r="O97" i="3"/>
  <c r="N97" i="3"/>
  <c r="M97" i="3"/>
  <c r="L97" i="3"/>
  <c r="K97" i="3"/>
  <c r="J97" i="3"/>
  <c r="I97" i="3"/>
  <c r="H97" i="3"/>
  <c r="G97" i="3"/>
  <c r="F97" i="3"/>
  <c r="E97" i="3"/>
  <c r="D97" i="3"/>
  <c r="C97" i="3"/>
  <c r="U96" i="3"/>
  <c r="T96" i="3"/>
  <c r="Z96" i="3" s="1"/>
  <c r="S96" i="3"/>
  <c r="R96" i="3"/>
  <c r="Q96" i="3"/>
  <c r="P96" i="3"/>
  <c r="O96" i="3"/>
  <c r="N96" i="3"/>
  <c r="M96" i="3"/>
  <c r="L96" i="3"/>
  <c r="K96" i="3"/>
  <c r="W96" i="3" s="1"/>
  <c r="J96" i="3"/>
  <c r="I96" i="3"/>
  <c r="H96" i="3"/>
  <c r="G96" i="3"/>
  <c r="F96" i="3"/>
  <c r="E96" i="3"/>
  <c r="D96" i="3"/>
  <c r="C96" i="3"/>
  <c r="B96" i="3"/>
  <c r="U95" i="3"/>
  <c r="T95" i="3"/>
  <c r="Z95" i="3" s="1"/>
  <c r="S95" i="3"/>
  <c r="R95" i="3"/>
  <c r="Q95" i="3"/>
  <c r="P95" i="3"/>
  <c r="O95" i="3"/>
  <c r="N95" i="3"/>
  <c r="M95" i="3"/>
  <c r="L95" i="3"/>
  <c r="K95" i="3"/>
  <c r="W95" i="3" s="1"/>
  <c r="J95" i="3"/>
  <c r="I95" i="3"/>
  <c r="H95" i="3"/>
  <c r="G95" i="3"/>
  <c r="F95" i="3"/>
  <c r="E95" i="3"/>
  <c r="D95" i="3"/>
  <c r="C95" i="3"/>
  <c r="B95" i="3"/>
  <c r="U94" i="3"/>
  <c r="T94" i="3"/>
  <c r="Z94" i="3" s="1"/>
  <c r="S94" i="3"/>
  <c r="R94" i="3"/>
  <c r="Q94" i="3"/>
  <c r="P94" i="3"/>
  <c r="O94" i="3"/>
  <c r="N94" i="3"/>
  <c r="M94" i="3"/>
  <c r="L94" i="3"/>
  <c r="K94" i="3"/>
  <c r="W94" i="3" s="1"/>
  <c r="J94" i="3"/>
  <c r="I94" i="3"/>
  <c r="H94" i="3"/>
  <c r="G94" i="3"/>
  <c r="F94" i="3"/>
  <c r="E94" i="3"/>
  <c r="D94" i="3"/>
  <c r="C94" i="3"/>
  <c r="B94" i="3"/>
  <c r="U93" i="3"/>
  <c r="T93" i="3"/>
  <c r="Z93" i="3" s="1"/>
  <c r="S93" i="3"/>
  <c r="R93" i="3"/>
  <c r="Q93" i="3"/>
  <c r="P93" i="3"/>
  <c r="O93" i="3"/>
  <c r="N93" i="3"/>
  <c r="M93" i="3"/>
  <c r="L93" i="3"/>
  <c r="K93" i="3"/>
  <c r="W93" i="3" s="1"/>
  <c r="J93" i="3"/>
  <c r="I93" i="3"/>
  <c r="H93" i="3"/>
  <c r="G93" i="3"/>
  <c r="F93" i="3"/>
  <c r="E93" i="3"/>
  <c r="D93" i="3"/>
  <c r="C93" i="3"/>
  <c r="B93" i="3"/>
  <c r="U92" i="3"/>
  <c r="T92" i="3"/>
  <c r="Z92" i="3" s="1"/>
  <c r="S92" i="3"/>
  <c r="R92" i="3"/>
  <c r="Q92" i="3"/>
  <c r="P92" i="3"/>
  <c r="O92" i="3"/>
  <c r="N92" i="3"/>
  <c r="M92" i="3"/>
  <c r="L92" i="3"/>
  <c r="K92" i="3"/>
  <c r="W92" i="3" s="1"/>
  <c r="J92" i="3"/>
  <c r="I92" i="3"/>
  <c r="H92" i="3"/>
  <c r="G92" i="3"/>
  <c r="F92" i="3"/>
  <c r="E92" i="3"/>
  <c r="D92" i="3"/>
  <c r="C92" i="3"/>
  <c r="B92" i="3"/>
  <c r="U91" i="3"/>
  <c r="T91" i="3"/>
  <c r="Z91" i="3" s="1"/>
  <c r="S91" i="3"/>
  <c r="R91" i="3"/>
  <c r="Q91" i="3"/>
  <c r="P91" i="3"/>
  <c r="O91" i="3"/>
  <c r="N91" i="3"/>
  <c r="M91" i="3"/>
  <c r="L91" i="3"/>
  <c r="K91" i="3"/>
  <c r="W91" i="3" s="1"/>
  <c r="J91" i="3"/>
  <c r="I91" i="3"/>
  <c r="H91" i="3"/>
  <c r="G91" i="3"/>
  <c r="F91" i="3"/>
  <c r="E91" i="3"/>
  <c r="D91" i="3"/>
  <c r="C91" i="3"/>
  <c r="B91" i="3"/>
  <c r="U90" i="3"/>
  <c r="T90" i="3"/>
  <c r="Z90" i="3" s="1"/>
  <c r="S90" i="3"/>
  <c r="R90" i="3"/>
  <c r="Q90" i="3"/>
  <c r="P90" i="3"/>
  <c r="O90" i="3"/>
  <c r="N90" i="3"/>
  <c r="M90" i="3"/>
  <c r="L90" i="3"/>
  <c r="K90" i="3"/>
  <c r="W90" i="3" s="1"/>
  <c r="J90" i="3"/>
  <c r="I90" i="3"/>
  <c r="H90" i="3"/>
  <c r="G90" i="3"/>
  <c r="F90" i="3"/>
  <c r="E90" i="3"/>
  <c r="D90" i="3"/>
  <c r="C90" i="3"/>
  <c r="B90" i="3"/>
  <c r="U89" i="3"/>
  <c r="T89" i="3"/>
  <c r="Z89" i="3" s="1"/>
  <c r="S89" i="3"/>
  <c r="R89" i="3"/>
  <c r="Q89" i="3"/>
  <c r="P89" i="3"/>
  <c r="O89" i="3"/>
  <c r="N89" i="3"/>
  <c r="M89" i="3"/>
  <c r="L89" i="3"/>
  <c r="K89" i="3"/>
  <c r="W89" i="3" s="1"/>
  <c r="J89" i="3"/>
  <c r="I89" i="3"/>
  <c r="H89" i="3"/>
  <c r="G89" i="3"/>
  <c r="F89" i="3"/>
  <c r="E89" i="3"/>
  <c r="D89" i="3"/>
  <c r="C89" i="3"/>
  <c r="B89" i="3"/>
  <c r="U88" i="3"/>
  <c r="T88" i="3"/>
  <c r="Z88" i="3" s="1"/>
  <c r="S88" i="3"/>
  <c r="R88" i="3"/>
  <c r="Q88" i="3"/>
  <c r="P88" i="3"/>
  <c r="O88" i="3"/>
  <c r="N88" i="3"/>
  <c r="M88" i="3"/>
  <c r="L88" i="3"/>
  <c r="K88" i="3"/>
  <c r="W88" i="3" s="1"/>
  <c r="J88" i="3"/>
  <c r="I88" i="3"/>
  <c r="H88" i="3"/>
  <c r="G88" i="3"/>
  <c r="F88" i="3"/>
  <c r="E88" i="3"/>
  <c r="D88" i="3"/>
  <c r="C88" i="3"/>
  <c r="B88" i="3"/>
  <c r="U87" i="3"/>
  <c r="T87" i="3"/>
  <c r="Z87" i="3" s="1"/>
  <c r="S87" i="3"/>
  <c r="R87" i="3"/>
  <c r="Q87" i="3"/>
  <c r="P87" i="3"/>
  <c r="O87" i="3"/>
  <c r="N87" i="3"/>
  <c r="M87" i="3"/>
  <c r="L87" i="3"/>
  <c r="K87" i="3"/>
  <c r="W87" i="3" s="1"/>
  <c r="J87" i="3"/>
  <c r="I87" i="3"/>
  <c r="H87" i="3"/>
  <c r="G87" i="3"/>
  <c r="F87" i="3"/>
  <c r="E87" i="3"/>
  <c r="D87" i="3"/>
  <c r="C87" i="3"/>
  <c r="B87" i="3"/>
  <c r="R86" i="3"/>
  <c r="Q86" i="3"/>
  <c r="P86" i="3" s="1"/>
  <c r="O86" i="3" s="1"/>
  <c r="N86" i="3" s="1"/>
  <c r="M86" i="3" s="1"/>
  <c r="L86" i="3" s="1"/>
  <c r="K86" i="3" s="1"/>
  <c r="J86" i="3" s="1"/>
  <c r="I86" i="3" s="1"/>
  <c r="H86" i="3" s="1"/>
  <c r="G86" i="3" s="1"/>
  <c r="F86" i="3" s="1"/>
  <c r="E86" i="3" s="1"/>
  <c r="D86" i="3" s="1"/>
  <c r="C86" i="3" s="1"/>
  <c r="B86" i="3" s="1"/>
  <c r="T83" i="3"/>
  <c r="S83" i="3"/>
  <c r="R83" i="3"/>
  <c r="Q83" i="3"/>
  <c r="P83" i="3"/>
  <c r="O83" i="3"/>
  <c r="N83" i="3"/>
  <c r="M83" i="3"/>
  <c r="L83" i="3"/>
  <c r="K83" i="3"/>
  <c r="J83" i="3"/>
  <c r="I83" i="3"/>
  <c r="H83" i="3"/>
  <c r="G83" i="3"/>
  <c r="F83" i="3"/>
  <c r="E83" i="3"/>
  <c r="D83" i="3"/>
  <c r="C83" i="3"/>
  <c r="B83" i="3"/>
  <c r="B60" i="3"/>
  <c r="B97" i="3" s="1"/>
  <c r="T49" i="3"/>
  <c r="S49" i="3"/>
  <c r="R49" i="3"/>
  <c r="Q49" i="3"/>
  <c r="P49" i="3"/>
  <c r="O49" i="3"/>
  <c r="N49" i="3"/>
  <c r="M49" i="3"/>
  <c r="L49" i="3"/>
  <c r="K49" i="3"/>
  <c r="J49" i="3"/>
  <c r="I49" i="3"/>
  <c r="H49" i="3"/>
  <c r="G49" i="3"/>
  <c r="F49" i="3"/>
  <c r="E49" i="3"/>
  <c r="D49" i="3"/>
  <c r="C49" i="3"/>
  <c r="B49" i="3"/>
  <c r="T39" i="3"/>
  <c r="S39" i="3"/>
  <c r="R39" i="3"/>
  <c r="Q39" i="3"/>
  <c r="P39" i="3"/>
  <c r="O39" i="3"/>
  <c r="N39" i="3"/>
  <c r="M39" i="3"/>
  <c r="L39" i="3"/>
  <c r="K39" i="3"/>
  <c r="J39" i="3"/>
  <c r="I39" i="3"/>
  <c r="H39" i="3"/>
  <c r="G39" i="3"/>
  <c r="F39" i="3"/>
  <c r="E39" i="3"/>
  <c r="D39" i="3"/>
  <c r="C39" i="3"/>
  <c r="B39" i="3"/>
  <c r="S38" i="3"/>
  <c r="S119" i="3" s="1"/>
  <c r="R38" i="3"/>
  <c r="R119" i="3" s="1"/>
  <c r="Q38" i="3"/>
  <c r="Q119" i="3" s="1"/>
  <c r="P38" i="3"/>
  <c r="P119" i="3" s="1"/>
  <c r="O38" i="3"/>
  <c r="O119" i="3" s="1"/>
  <c r="N38" i="3"/>
  <c r="N119" i="3" s="1"/>
  <c r="M38" i="3"/>
  <c r="M119" i="3" s="1"/>
  <c r="L38" i="3"/>
  <c r="L119" i="3" s="1"/>
  <c r="K38" i="3"/>
  <c r="K119" i="3" s="1"/>
  <c r="J38" i="3"/>
  <c r="J119" i="3" s="1"/>
  <c r="I38" i="3"/>
  <c r="I119" i="3" s="1"/>
  <c r="H38" i="3"/>
  <c r="H119" i="3" s="1"/>
  <c r="G38" i="3"/>
  <c r="G119" i="3" s="1"/>
  <c r="F38" i="3"/>
  <c r="F119" i="3" s="1"/>
  <c r="E38" i="3"/>
  <c r="E119" i="3" s="1"/>
  <c r="D38" i="3"/>
  <c r="D119" i="3" s="1"/>
  <c r="C38" i="3"/>
  <c r="C119" i="3" s="1"/>
  <c r="B38" i="3"/>
  <c r="B119" i="3" s="1"/>
  <c r="V37" i="3"/>
  <c r="V36" i="3"/>
  <c r="V35" i="3"/>
  <c r="V34" i="3"/>
  <c r="V32" i="3"/>
  <c r="V31" i="3"/>
  <c r="V30" i="3"/>
  <c r="V29" i="3"/>
  <c r="V28" i="3"/>
  <c r="V27" i="3"/>
  <c r="V26" i="3"/>
  <c r="V25" i="3"/>
  <c r="V24" i="3"/>
  <c r="V23" i="3"/>
  <c r="V22" i="3"/>
  <c r="V21" i="3"/>
  <c r="V20" i="3"/>
  <c r="V19" i="3"/>
  <c r="V18" i="3"/>
  <c r="V17" i="3"/>
  <c r="V16" i="3"/>
  <c r="V15" i="3"/>
  <c r="V14" i="3"/>
  <c r="V13" i="3"/>
  <c r="V12" i="3"/>
  <c r="V11" i="3"/>
  <c r="V10" i="3"/>
  <c r="V9" i="3"/>
  <c r="V8" i="3"/>
  <c r="V7" i="3"/>
  <c r="V6" i="3"/>
  <c r="T4" i="3"/>
  <c r="S4" i="3"/>
  <c r="R4" i="3"/>
  <c r="Q4" i="3"/>
  <c r="P4" i="3"/>
  <c r="O4" i="3"/>
  <c r="N4" i="3"/>
  <c r="M4" i="3"/>
  <c r="L4" i="3"/>
  <c r="K4" i="3"/>
  <c r="J4" i="3"/>
  <c r="I4" i="3"/>
  <c r="H4" i="3"/>
  <c r="G4" i="3"/>
  <c r="F4" i="3"/>
  <c r="E4" i="3"/>
  <c r="D4" i="3"/>
  <c r="C4" i="3"/>
  <c r="B4" i="3"/>
  <c r="W3" i="3"/>
  <c r="V3" i="3"/>
  <c r="U3" i="3"/>
  <c r="E184" i="2"/>
  <c r="D184" i="2"/>
  <c r="E183" i="2"/>
  <c r="E193" i="2" s="1"/>
  <c r="D183" i="2"/>
  <c r="E182" i="2"/>
  <c r="E192" i="2" s="1"/>
  <c r="D182" i="2"/>
  <c r="E181" i="2"/>
  <c r="E191" i="2" s="1"/>
  <c r="D181" i="2"/>
  <c r="E180" i="2"/>
  <c r="E190" i="2" s="1"/>
  <c r="E199" i="2" s="1"/>
  <c r="D180" i="2"/>
  <c r="D190" i="2" s="1"/>
  <c r="E179" i="2"/>
  <c r="E189" i="2" s="1"/>
  <c r="D179" i="2"/>
  <c r="E178" i="2"/>
  <c r="E188" i="2" s="1"/>
  <c r="D178" i="2"/>
  <c r="E177" i="2"/>
  <c r="E187" i="2" s="1"/>
  <c r="D177" i="2"/>
  <c r="E176" i="2"/>
  <c r="D176" i="2"/>
  <c r="D169" i="2"/>
  <c r="V162" i="2"/>
  <c r="U162" i="2"/>
  <c r="T162" i="2"/>
  <c r="S162" i="2"/>
  <c r="R162" i="2"/>
  <c r="Q162" i="2"/>
  <c r="P162" i="2"/>
  <c r="O162" i="2"/>
  <c r="N162" i="2"/>
  <c r="M162" i="2"/>
  <c r="L162" i="2"/>
  <c r="K162" i="2"/>
  <c r="J162" i="2"/>
  <c r="I162" i="2"/>
  <c r="H162" i="2"/>
  <c r="G162" i="2"/>
  <c r="F162" i="2"/>
  <c r="E162" i="2"/>
  <c r="D162" i="2"/>
  <c r="D173" i="2" s="1"/>
  <c r="V161" i="2"/>
  <c r="U161" i="2"/>
  <c r="T161" i="2"/>
  <c r="S161" i="2"/>
  <c r="R161" i="2"/>
  <c r="Q161" i="2"/>
  <c r="P161" i="2"/>
  <c r="O161" i="2"/>
  <c r="N161" i="2"/>
  <c r="M161" i="2"/>
  <c r="L161" i="2"/>
  <c r="K161" i="2"/>
  <c r="J161" i="2"/>
  <c r="I161" i="2"/>
  <c r="H161" i="2"/>
  <c r="G161" i="2"/>
  <c r="F161" i="2"/>
  <c r="E161" i="2"/>
  <c r="D161" i="2"/>
  <c r="D171" i="2" s="1"/>
  <c r="V160" i="2"/>
  <c r="U160" i="2"/>
  <c r="T160" i="2"/>
  <c r="S160" i="2"/>
  <c r="R160" i="2"/>
  <c r="Q160" i="2"/>
  <c r="P160" i="2"/>
  <c r="O160" i="2"/>
  <c r="N160" i="2"/>
  <c r="M160" i="2"/>
  <c r="L160" i="2"/>
  <c r="K160" i="2"/>
  <c r="J160" i="2"/>
  <c r="I160" i="2"/>
  <c r="H160" i="2"/>
  <c r="G160" i="2"/>
  <c r="F160" i="2"/>
  <c r="E160" i="2"/>
  <c r="D160" i="2"/>
  <c r="D166" i="2" s="1"/>
  <c r="V159" i="2"/>
  <c r="U159" i="2"/>
  <c r="T159" i="2"/>
  <c r="S159" i="2"/>
  <c r="R159" i="2"/>
  <c r="Q159" i="2"/>
  <c r="P159" i="2"/>
  <c r="O159" i="2"/>
  <c r="N159" i="2"/>
  <c r="M159" i="2"/>
  <c r="L159" i="2"/>
  <c r="K159" i="2"/>
  <c r="J159" i="2"/>
  <c r="I159" i="2"/>
  <c r="H159" i="2"/>
  <c r="G159" i="2"/>
  <c r="F159" i="2"/>
  <c r="E159" i="2"/>
  <c r="D159" i="2"/>
  <c r="V156" i="2"/>
  <c r="U156" i="2"/>
  <c r="T156" i="2"/>
  <c r="S156" i="2"/>
  <c r="R156" i="2"/>
  <c r="Q156" i="2"/>
  <c r="P156" i="2"/>
  <c r="O156" i="2"/>
  <c r="N156" i="2"/>
  <c r="M156" i="2"/>
  <c r="L156" i="2"/>
  <c r="K156" i="2"/>
  <c r="J156" i="2"/>
  <c r="I156" i="2"/>
  <c r="H156" i="2"/>
  <c r="G156" i="2"/>
  <c r="F156" i="2"/>
  <c r="E156" i="2"/>
  <c r="D156" i="2"/>
  <c r="V155" i="2"/>
  <c r="U155" i="2"/>
  <c r="T155" i="2"/>
  <c r="S155" i="2"/>
  <c r="R155" i="2"/>
  <c r="Q155" i="2"/>
  <c r="P155" i="2"/>
  <c r="O155" i="2"/>
  <c r="N155" i="2"/>
  <c r="M155" i="2"/>
  <c r="L155" i="2"/>
  <c r="K155" i="2"/>
  <c r="J155" i="2"/>
  <c r="I155" i="2"/>
  <c r="H155" i="2"/>
  <c r="G155" i="2"/>
  <c r="F155" i="2"/>
  <c r="E155" i="2"/>
  <c r="D155" i="2"/>
  <c r="D172" i="2" s="1"/>
  <c r="V154" i="2"/>
  <c r="U154" i="2"/>
  <c r="T154" i="2"/>
  <c r="S154" i="2"/>
  <c r="R154" i="2"/>
  <c r="Q154" i="2"/>
  <c r="P154" i="2"/>
  <c r="O154" i="2"/>
  <c r="N154" i="2"/>
  <c r="M154" i="2"/>
  <c r="L154" i="2"/>
  <c r="K154" i="2"/>
  <c r="J154" i="2"/>
  <c r="I154" i="2"/>
  <c r="H154" i="2"/>
  <c r="G154" i="2"/>
  <c r="F154" i="2"/>
  <c r="E154" i="2"/>
  <c r="D154" i="2"/>
  <c r="D167" i="2" s="1"/>
  <c r="V153" i="2"/>
  <c r="V151" i="2" s="1"/>
  <c r="U153" i="2"/>
  <c r="T153" i="2"/>
  <c r="T151" i="2" s="1"/>
  <c r="S153" i="2"/>
  <c r="R153" i="2"/>
  <c r="R151" i="2" s="1"/>
  <c r="Q153" i="2"/>
  <c r="P153" i="2"/>
  <c r="P151" i="2" s="1"/>
  <c r="O153" i="2"/>
  <c r="N153" i="2"/>
  <c r="N151" i="2" s="1"/>
  <c r="M153" i="2"/>
  <c r="L153" i="2"/>
  <c r="L151" i="2" s="1"/>
  <c r="K153" i="2"/>
  <c r="J153" i="2"/>
  <c r="J151" i="2" s="1"/>
  <c r="I153" i="2"/>
  <c r="H153" i="2"/>
  <c r="H151" i="2" s="1"/>
  <c r="G153" i="2"/>
  <c r="F153" i="2"/>
  <c r="F151" i="2" s="1"/>
  <c r="E153" i="2"/>
  <c r="D153" i="2"/>
  <c r="D151" i="2" s="1"/>
  <c r="U151" i="2"/>
  <c r="S151" i="2"/>
  <c r="Q151" i="2"/>
  <c r="O151" i="2"/>
  <c r="M151" i="2"/>
  <c r="K151" i="2"/>
  <c r="I151" i="2"/>
  <c r="G151" i="2"/>
  <c r="E151" i="2"/>
  <c r="C146" i="2"/>
  <c r="B146" i="2"/>
  <c r="C145" i="2"/>
  <c r="L145" i="2" s="1"/>
  <c r="B145" i="2"/>
  <c r="C144" i="2"/>
  <c r="B144" i="2"/>
  <c r="C143" i="2"/>
  <c r="L143" i="2" s="1"/>
  <c r="B143" i="2"/>
  <c r="C138" i="2"/>
  <c r="L141" i="2" s="1"/>
  <c r="B138" i="2"/>
  <c r="E128" i="2"/>
  <c r="F128" i="2" s="1"/>
  <c r="G128" i="2" s="1"/>
  <c r="H128" i="2" s="1"/>
  <c r="I128" i="2" s="1"/>
  <c r="J128" i="2" s="1"/>
  <c r="K128" i="2" s="1"/>
  <c r="L128" i="2" s="1"/>
  <c r="M128" i="2" s="1"/>
  <c r="N128" i="2" s="1"/>
  <c r="O128" i="2" s="1"/>
  <c r="P128" i="2" s="1"/>
  <c r="Q128" i="2" s="1"/>
  <c r="R128" i="2" s="1"/>
  <c r="S128" i="2" s="1"/>
  <c r="T128" i="2" s="1"/>
  <c r="U128" i="2" s="1"/>
  <c r="V128" i="2" s="1"/>
  <c r="H121" i="2"/>
  <c r="I121" i="2" s="1"/>
  <c r="J121" i="2" s="1"/>
  <c r="K121" i="2" s="1"/>
  <c r="L121" i="2" s="1"/>
  <c r="M121" i="2" s="1"/>
  <c r="N121" i="2" s="1"/>
  <c r="O121" i="2" s="1"/>
  <c r="P121" i="2" s="1"/>
  <c r="Q121" i="2" s="1"/>
  <c r="R121" i="2" s="1"/>
  <c r="S121" i="2" s="1"/>
  <c r="T121" i="2" s="1"/>
  <c r="U121" i="2" s="1"/>
  <c r="V121" i="2" s="1"/>
  <c r="F121" i="2"/>
  <c r="G121" i="2" s="1"/>
  <c r="E121" i="2"/>
  <c r="F114" i="2"/>
  <c r="G114" i="2" s="1"/>
  <c r="H114" i="2" s="1"/>
  <c r="I114" i="2" s="1"/>
  <c r="J114" i="2" s="1"/>
  <c r="K114" i="2" s="1"/>
  <c r="L114" i="2" s="1"/>
  <c r="M114" i="2" s="1"/>
  <c r="N114" i="2" s="1"/>
  <c r="O114" i="2" s="1"/>
  <c r="P114" i="2" s="1"/>
  <c r="Q114" i="2" s="1"/>
  <c r="R114" i="2" s="1"/>
  <c r="S114" i="2" s="1"/>
  <c r="T114" i="2" s="1"/>
  <c r="U114" i="2" s="1"/>
  <c r="V114" i="2" s="1"/>
  <c r="E114" i="2"/>
  <c r="F108" i="2"/>
  <c r="G108" i="2" s="1"/>
  <c r="H108" i="2" s="1"/>
  <c r="I108" i="2" s="1"/>
  <c r="J108" i="2" s="1"/>
  <c r="K108" i="2" s="1"/>
  <c r="L108" i="2" s="1"/>
  <c r="M108" i="2" s="1"/>
  <c r="N108" i="2" s="1"/>
  <c r="O108" i="2" s="1"/>
  <c r="P108" i="2" s="1"/>
  <c r="Q108" i="2" s="1"/>
  <c r="R108" i="2" s="1"/>
  <c r="S108" i="2" s="1"/>
  <c r="T108" i="2" s="1"/>
  <c r="U108" i="2" s="1"/>
  <c r="V108" i="2" s="1"/>
  <c r="E108" i="2"/>
  <c r="F101" i="2"/>
  <c r="G101" i="2" s="1"/>
  <c r="H101" i="2" s="1"/>
  <c r="I101" i="2" s="1"/>
  <c r="J101" i="2" s="1"/>
  <c r="K101" i="2" s="1"/>
  <c r="L101" i="2" s="1"/>
  <c r="M101" i="2" s="1"/>
  <c r="N101" i="2" s="1"/>
  <c r="O101" i="2" s="1"/>
  <c r="P101" i="2" s="1"/>
  <c r="Q101" i="2" s="1"/>
  <c r="R101" i="2" s="1"/>
  <c r="S101" i="2" s="1"/>
  <c r="T101" i="2" s="1"/>
  <c r="U101" i="2" s="1"/>
  <c r="V101" i="2" s="1"/>
  <c r="E101" i="2"/>
  <c r="V96" i="2"/>
  <c r="V109" i="2" s="1"/>
  <c r="U96" i="2"/>
  <c r="U109" i="2" s="1"/>
  <c r="T96" i="2"/>
  <c r="T109" i="2" s="1"/>
  <c r="S96" i="2"/>
  <c r="S109" i="2" s="1"/>
  <c r="R96" i="2"/>
  <c r="R109" i="2" s="1"/>
  <c r="Q96" i="2"/>
  <c r="Q109" i="2" s="1"/>
  <c r="P96" i="2"/>
  <c r="P109" i="2" s="1"/>
  <c r="O96" i="2"/>
  <c r="O109" i="2" s="1"/>
  <c r="N96" i="2"/>
  <c r="N109" i="2" s="1"/>
  <c r="M96" i="2"/>
  <c r="M109" i="2" s="1"/>
  <c r="L96" i="2"/>
  <c r="L109" i="2" s="1"/>
  <c r="K96" i="2"/>
  <c r="K109" i="2" s="1"/>
  <c r="J96" i="2"/>
  <c r="J109" i="2" s="1"/>
  <c r="I96" i="2"/>
  <c r="I109" i="2" s="1"/>
  <c r="H96" i="2"/>
  <c r="H109" i="2" s="1"/>
  <c r="G96" i="2"/>
  <c r="G109" i="2" s="1"/>
  <c r="F96" i="2"/>
  <c r="F109" i="2" s="1"/>
  <c r="E96" i="2"/>
  <c r="E109" i="2" s="1"/>
  <c r="D96" i="2"/>
  <c r="V90" i="2"/>
  <c r="V103" i="2" s="1"/>
  <c r="U90" i="2"/>
  <c r="U103" i="2" s="1"/>
  <c r="T90" i="2"/>
  <c r="T103" i="2" s="1"/>
  <c r="S90" i="2"/>
  <c r="S103" i="2" s="1"/>
  <c r="R90" i="2"/>
  <c r="R103" i="2" s="1"/>
  <c r="Q90" i="2"/>
  <c r="P90" i="2"/>
  <c r="P103" i="2" s="1"/>
  <c r="O90" i="2"/>
  <c r="N90" i="2"/>
  <c r="N103" i="2" s="1"/>
  <c r="M90" i="2"/>
  <c r="L90" i="2"/>
  <c r="L103" i="2" s="1"/>
  <c r="K90" i="2"/>
  <c r="J90" i="2"/>
  <c r="J103" i="2" s="1"/>
  <c r="I90" i="2"/>
  <c r="H90" i="2"/>
  <c r="H103" i="2" s="1"/>
  <c r="G90" i="2"/>
  <c r="F90" i="2"/>
  <c r="F103" i="2" s="1"/>
  <c r="E90" i="2"/>
  <c r="D90" i="2"/>
  <c r="AG84" i="2"/>
  <c r="AG83" i="2"/>
  <c r="AG82" i="2"/>
  <c r="V64" i="2"/>
  <c r="V83" i="2" s="1"/>
  <c r="U64" i="2"/>
  <c r="T64" i="2"/>
  <c r="T83" i="2" s="1"/>
  <c r="S64" i="2"/>
  <c r="R64" i="2"/>
  <c r="R83" i="2" s="1"/>
  <c r="Q64" i="2"/>
  <c r="P64" i="2"/>
  <c r="P83" i="2" s="1"/>
  <c r="O64" i="2"/>
  <c r="N64" i="2"/>
  <c r="N83" i="2" s="1"/>
  <c r="M64" i="2"/>
  <c r="L64" i="2"/>
  <c r="L83" i="2" s="1"/>
  <c r="K64" i="2"/>
  <c r="J64" i="2"/>
  <c r="J83" i="2" s="1"/>
  <c r="I64" i="2"/>
  <c r="H64" i="2"/>
  <c r="H83" i="2" s="1"/>
  <c r="G64" i="2"/>
  <c r="F64" i="2"/>
  <c r="F83" i="2" s="1"/>
  <c r="E64" i="2"/>
  <c r="D64" i="2"/>
  <c r="D75" i="2" s="1"/>
  <c r="V57" i="2"/>
  <c r="U57" i="2"/>
  <c r="U69" i="2" s="1"/>
  <c r="T57" i="2"/>
  <c r="S57" i="2"/>
  <c r="S69" i="2" s="1"/>
  <c r="R57" i="2"/>
  <c r="Q57" i="2"/>
  <c r="Q69" i="2" s="1"/>
  <c r="P57" i="2"/>
  <c r="O57" i="2"/>
  <c r="O69" i="2" s="1"/>
  <c r="N57" i="2"/>
  <c r="M57" i="2"/>
  <c r="M69" i="2" s="1"/>
  <c r="L57" i="2"/>
  <c r="K57" i="2"/>
  <c r="K69" i="2" s="1"/>
  <c r="J57" i="2"/>
  <c r="I57" i="2"/>
  <c r="I69" i="2" s="1"/>
  <c r="H57" i="2"/>
  <c r="G57" i="2"/>
  <c r="G69" i="2" s="1"/>
  <c r="F57" i="2"/>
  <c r="E57" i="2"/>
  <c r="E69" i="2" s="1"/>
  <c r="D57" i="2"/>
  <c r="D69" i="2" s="1"/>
  <c r="V32" i="2"/>
  <c r="V99" i="2" s="1"/>
  <c r="V111" i="2" s="1"/>
  <c r="U32" i="2"/>
  <c r="U99" i="2" s="1"/>
  <c r="T32" i="2"/>
  <c r="T99" i="2" s="1"/>
  <c r="T111" i="2" s="1"/>
  <c r="S32" i="2"/>
  <c r="S99" i="2" s="1"/>
  <c r="R32" i="2"/>
  <c r="R99" i="2" s="1"/>
  <c r="R111" i="2" s="1"/>
  <c r="Q32" i="2"/>
  <c r="Q99" i="2" s="1"/>
  <c r="P32" i="2"/>
  <c r="P99" i="2" s="1"/>
  <c r="P111" i="2" s="1"/>
  <c r="O32" i="2"/>
  <c r="O99" i="2" s="1"/>
  <c r="N32" i="2"/>
  <c r="N99" i="2" s="1"/>
  <c r="N111" i="2" s="1"/>
  <c r="M32" i="2"/>
  <c r="M99" i="2" s="1"/>
  <c r="L32" i="2"/>
  <c r="L99" i="2" s="1"/>
  <c r="L111" i="2" s="1"/>
  <c r="K32" i="2"/>
  <c r="K99" i="2" s="1"/>
  <c r="J32" i="2"/>
  <c r="J99" i="2" s="1"/>
  <c r="J111" i="2" s="1"/>
  <c r="I32" i="2"/>
  <c r="I99" i="2" s="1"/>
  <c r="H32" i="2"/>
  <c r="H99" i="2" s="1"/>
  <c r="H111" i="2" s="1"/>
  <c r="G32" i="2"/>
  <c r="G99" i="2" s="1"/>
  <c r="F32" i="2"/>
  <c r="F99" i="2" s="1"/>
  <c r="F111" i="2" s="1"/>
  <c r="E32" i="2"/>
  <c r="E99" i="2" s="1"/>
  <c r="D32" i="2"/>
  <c r="D99" i="2" s="1"/>
  <c r="V31" i="2"/>
  <c r="V81" i="2" s="1"/>
  <c r="U31" i="2"/>
  <c r="U81" i="2" s="1"/>
  <c r="T31" i="2"/>
  <c r="T81" i="2" s="1"/>
  <c r="S31" i="2"/>
  <c r="S81" i="2" s="1"/>
  <c r="R31" i="2"/>
  <c r="R81" i="2" s="1"/>
  <c r="Q31" i="2"/>
  <c r="Q81" i="2" s="1"/>
  <c r="P31" i="2"/>
  <c r="P81" i="2" s="1"/>
  <c r="O31" i="2"/>
  <c r="O81" i="2" s="1"/>
  <c r="N31" i="2"/>
  <c r="N81" i="2" s="1"/>
  <c r="M31" i="2"/>
  <c r="M81" i="2" s="1"/>
  <c r="L31" i="2"/>
  <c r="L81" i="2" s="1"/>
  <c r="K31" i="2"/>
  <c r="K81" i="2" s="1"/>
  <c r="J31" i="2"/>
  <c r="J81" i="2" s="1"/>
  <c r="I31" i="2"/>
  <c r="I81" i="2" s="1"/>
  <c r="H31" i="2"/>
  <c r="H81" i="2" s="1"/>
  <c r="G31" i="2"/>
  <c r="G81" i="2" s="1"/>
  <c r="F31" i="2"/>
  <c r="F81" i="2" s="1"/>
  <c r="E31" i="2"/>
  <c r="E81" i="2" s="1"/>
  <c r="D31" i="2"/>
  <c r="D81" i="2" s="1"/>
  <c r="V25" i="2"/>
  <c r="V33" i="2" s="1"/>
  <c r="Y24" i="2" s="1"/>
  <c r="U25" i="2"/>
  <c r="U88" i="2" s="1"/>
  <c r="T25" i="2"/>
  <c r="T33" i="2" s="1"/>
  <c r="S25" i="2"/>
  <c r="S88" i="2" s="1"/>
  <c r="R25" i="2"/>
  <c r="R33" i="2" s="1"/>
  <c r="Q25" i="2"/>
  <c r="Q88" i="2" s="1"/>
  <c r="P25" i="2"/>
  <c r="P33" i="2" s="1"/>
  <c r="O25" i="2"/>
  <c r="O88" i="2" s="1"/>
  <c r="N25" i="2"/>
  <c r="N33" i="2" s="1"/>
  <c r="M25" i="2"/>
  <c r="M88" i="2" s="1"/>
  <c r="L25" i="2"/>
  <c r="L33" i="2" s="1"/>
  <c r="K25" i="2"/>
  <c r="K88" i="2" s="1"/>
  <c r="J25" i="2"/>
  <c r="J33" i="2" s="1"/>
  <c r="I25" i="2"/>
  <c r="I88" i="2" s="1"/>
  <c r="H25" i="2"/>
  <c r="H33" i="2" s="1"/>
  <c r="G25" i="2"/>
  <c r="G88" i="2" s="1"/>
  <c r="F25" i="2"/>
  <c r="F33" i="2" s="1"/>
  <c r="E25" i="2"/>
  <c r="E88" i="2" s="1"/>
  <c r="D25" i="2"/>
  <c r="D33" i="2" s="1"/>
  <c r="V22" i="2"/>
  <c r="V20" i="2"/>
  <c r="T20" i="2"/>
  <c r="R20" i="2"/>
  <c r="P20" i="2"/>
  <c r="N20" i="2"/>
  <c r="L20" i="2"/>
  <c r="J20" i="2"/>
  <c r="H20" i="2"/>
  <c r="F20" i="2"/>
  <c r="D20" i="2"/>
  <c r="AB19" i="2"/>
  <c r="V19" i="2"/>
  <c r="V21" i="2" s="1"/>
  <c r="U19" i="2"/>
  <c r="U22" i="2" s="1"/>
  <c r="T19" i="2"/>
  <c r="T21" i="2" s="1"/>
  <c r="S19" i="2"/>
  <c r="S22" i="2" s="1"/>
  <c r="R19" i="2"/>
  <c r="R21" i="2" s="1"/>
  <c r="Q19" i="2"/>
  <c r="Q22" i="2" s="1"/>
  <c r="P19" i="2"/>
  <c r="P21" i="2" s="1"/>
  <c r="O19" i="2"/>
  <c r="O22" i="2" s="1"/>
  <c r="N19" i="2"/>
  <c r="N21" i="2" s="1"/>
  <c r="M19" i="2"/>
  <c r="M22" i="2" s="1"/>
  <c r="L19" i="2"/>
  <c r="L21" i="2" s="1"/>
  <c r="K19" i="2"/>
  <c r="K22" i="2" s="1"/>
  <c r="J19" i="2"/>
  <c r="J21" i="2" s="1"/>
  <c r="I19" i="2"/>
  <c r="I22" i="2" s="1"/>
  <c r="H19" i="2"/>
  <c r="H21" i="2" s="1"/>
  <c r="G19" i="2"/>
  <c r="G22" i="2" s="1"/>
  <c r="F19" i="2"/>
  <c r="F21" i="2" s="1"/>
  <c r="E19" i="2"/>
  <c r="E22" i="2" s="1"/>
  <c r="D19" i="2"/>
  <c r="D21" i="2" s="1"/>
  <c r="AC18" i="2"/>
  <c r="AB18" i="2"/>
  <c r="AA18" i="2"/>
  <c r="Z18" i="2"/>
  <c r="Y18" i="2"/>
  <c r="Y19" i="2" s="1"/>
  <c r="AC17" i="2"/>
  <c r="AB17" i="2"/>
  <c r="AA17" i="2"/>
  <c r="Z17" i="2"/>
  <c r="Y17" i="2"/>
  <c r="AC16" i="2"/>
  <c r="AB16" i="2"/>
  <c r="AA16" i="2"/>
  <c r="Y16" i="2"/>
  <c r="AC15" i="2"/>
  <c r="AB15" i="2"/>
  <c r="AA15" i="2"/>
  <c r="Y15" i="2"/>
  <c r="AC14" i="2"/>
  <c r="AB14" i="2"/>
  <c r="AA14" i="2"/>
  <c r="Y14" i="2"/>
  <c r="AC13" i="2"/>
  <c r="AB13" i="2"/>
  <c r="AA13" i="2"/>
  <c r="Y13" i="2"/>
  <c r="AC12" i="2"/>
  <c r="AB12" i="2"/>
  <c r="AA12" i="2"/>
  <c r="Y12" i="2"/>
  <c r="Z3" i="2"/>
  <c r="G92" i="2" l="1"/>
  <c r="K92" i="2"/>
  <c r="O92" i="2"/>
  <c r="S92" i="2"/>
  <c r="D98" i="2"/>
  <c r="D97" i="2"/>
  <c r="H98" i="2"/>
  <c r="H97" i="2"/>
  <c r="L98" i="2"/>
  <c r="L97" i="2"/>
  <c r="N98" i="2"/>
  <c r="N97" i="2"/>
  <c r="P98" i="2"/>
  <c r="P97" i="2"/>
  <c r="R98" i="2"/>
  <c r="R97" i="2"/>
  <c r="T98" i="2"/>
  <c r="T97" i="2"/>
  <c r="V98" i="2"/>
  <c r="V97" i="2"/>
  <c r="E92" i="2"/>
  <c r="I92" i="2"/>
  <c r="M92" i="2"/>
  <c r="Q92" i="2"/>
  <c r="U92" i="2"/>
  <c r="F98" i="2"/>
  <c r="F97" i="2"/>
  <c r="J98" i="2"/>
  <c r="J97" i="2"/>
  <c r="E97" i="2"/>
  <c r="E98" i="2"/>
  <c r="E110" i="2" s="1"/>
  <c r="G97" i="2"/>
  <c r="G98" i="2"/>
  <c r="G110" i="2" s="1"/>
  <c r="I97" i="2"/>
  <c r="I98" i="2"/>
  <c r="I110" i="2" s="1"/>
  <c r="K97" i="2"/>
  <c r="K98" i="2"/>
  <c r="K110" i="2" s="1"/>
  <c r="M97" i="2"/>
  <c r="M98" i="2"/>
  <c r="M110" i="2" s="1"/>
  <c r="O97" i="2"/>
  <c r="O98" i="2"/>
  <c r="O110" i="2" s="1"/>
  <c r="Q97" i="2"/>
  <c r="Q98" i="2"/>
  <c r="Q110" i="2" s="1"/>
  <c r="S97" i="2"/>
  <c r="S98" i="2"/>
  <c r="S110" i="2" s="1"/>
  <c r="U97" i="2"/>
  <c r="U98" i="2"/>
  <c r="U110" i="2" s="1"/>
  <c r="E21" i="2"/>
  <c r="G21" i="2"/>
  <c r="I21" i="2"/>
  <c r="K21" i="2"/>
  <c r="M21" i="2"/>
  <c r="O21" i="2"/>
  <c r="Q21" i="2"/>
  <c r="S21" i="2"/>
  <c r="U21" i="2"/>
  <c r="D22" i="2"/>
  <c r="F22" i="2"/>
  <c r="H22" i="2"/>
  <c r="J22" i="2"/>
  <c r="L22" i="2"/>
  <c r="N22" i="2"/>
  <c r="P22" i="2"/>
  <c r="R22" i="2"/>
  <c r="T22" i="2"/>
  <c r="E33" i="2"/>
  <c r="G33" i="2"/>
  <c r="I33" i="2"/>
  <c r="K33" i="2"/>
  <c r="M33" i="2"/>
  <c r="O33" i="2"/>
  <c r="Q33" i="2"/>
  <c r="S33" i="2"/>
  <c r="U33" i="2"/>
  <c r="D58" i="2"/>
  <c r="F58" i="2"/>
  <c r="H58" i="2"/>
  <c r="J58" i="2"/>
  <c r="L58" i="2"/>
  <c r="N58" i="2"/>
  <c r="P58" i="2"/>
  <c r="R58" i="2"/>
  <c r="T58" i="2"/>
  <c r="V58" i="2"/>
  <c r="Y64" i="2"/>
  <c r="E67" i="2"/>
  <c r="G67" i="2"/>
  <c r="I67" i="2"/>
  <c r="K67" i="2"/>
  <c r="M67" i="2"/>
  <c r="O67" i="2"/>
  <c r="Q67" i="2"/>
  <c r="S67" i="2"/>
  <c r="U67" i="2"/>
  <c r="D68" i="2"/>
  <c r="F68" i="2"/>
  <c r="H68" i="2"/>
  <c r="J68" i="2"/>
  <c r="L68" i="2"/>
  <c r="N68" i="2"/>
  <c r="P68" i="2"/>
  <c r="R68" i="2"/>
  <c r="T68" i="2"/>
  <c r="V68" i="2"/>
  <c r="D70" i="2"/>
  <c r="F70" i="2"/>
  <c r="H70" i="2"/>
  <c r="J70" i="2"/>
  <c r="L70" i="2"/>
  <c r="N70" i="2"/>
  <c r="P70" i="2"/>
  <c r="R70" i="2"/>
  <c r="T70" i="2"/>
  <c r="V70" i="2"/>
  <c r="E73" i="2"/>
  <c r="G73" i="2"/>
  <c r="I73" i="2"/>
  <c r="K73" i="2"/>
  <c r="M73" i="2"/>
  <c r="O73" i="2"/>
  <c r="Q73" i="2"/>
  <c r="S73" i="2"/>
  <c r="U73" i="2"/>
  <c r="D74" i="2"/>
  <c r="F74" i="2"/>
  <c r="H74" i="2"/>
  <c r="J74" i="2"/>
  <c r="L74" i="2"/>
  <c r="N74" i="2"/>
  <c r="P74" i="2"/>
  <c r="R74" i="2"/>
  <c r="T74" i="2"/>
  <c r="V74" i="2"/>
  <c r="E75" i="2"/>
  <c r="G75" i="2"/>
  <c r="I75" i="2"/>
  <c r="K75" i="2"/>
  <c r="M75" i="2"/>
  <c r="O75" i="2"/>
  <c r="Q75" i="2"/>
  <c r="S75" i="2"/>
  <c r="U75" i="2"/>
  <c r="E79" i="2"/>
  <c r="G79" i="2"/>
  <c r="I79" i="2"/>
  <c r="K79" i="2"/>
  <c r="M79" i="2"/>
  <c r="O79" i="2"/>
  <c r="Q79" i="2"/>
  <c r="S79" i="2"/>
  <c r="U79" i="2"/>
  <c r="D80" i="2"/>
  <c r="D95" i="2" s="1"/>
  <c r="E123" i="2" s="1"/>
  <c r="F80" i="2"/>
  <c r="H80" i="2"/>
  <c r="J80" i="2"/>
  <c r="L80" i="2"/>
  <c r="N80" i="2"/>
  <c r="P80" i="2"/>
  <c r="R80" i="2"/>
  <c r="T80" i="2"/>
  <c r="V80" i="2"/>
  <c r="D82" i="2"/>
  <c r="F82" i="2"/>
  <c r="H82" i="2"/>
  <c r="J82" i="2"/>
  <c r="L82" i="2"/>
  <c r="N82" i="2"/>
  <c r="P82" i="2"/>
  <c r="R82" i="2"/>
  <c r="T82" i="2"/>
  <c r="V82" i="2"/>
  <c r="D83" i="2"/>
  <c r="D88" i="2"/>
  <c r="D92" i="2" s="1"/>
  <c r="F88" i="2"/>
  <c r="H88" i="2"/>
  <c r="J88" i="2"/>
  <c r="L88" i="2"/>
  <c r="N88" i="2"/>
  <c r="P88" i="2"/>
  <c r="R88" i="2"/>
  <c r="T88" i="2"/>
  <c r="V88" i="2"/>
  <c r="E103" i="2"/>
  <c r="G103" i="2"/>
  <c r="I103" i="2"/>
  <c r="K103" i="2"/>
  <c r="M103" i="2"/>
  <c r="O103" i="2"/>
  <c r="Q103" i="2"/>
  <c r="AA19" i="2"/>
  <c r="AC19" i="2"/>
  <c r="E20" i="2"/>
  <c r="G20" i="2"/>
  <c r="I20" i="2"/>
  <c r="K20" i="2"/>
  <c r="M20" i="2"/>
  <c r="O20" i="2"/>
  <c r="Q20" i="2"/>
  <c r="S20" i="2"/>
  <c r="U20" i="2"/>
  <c r="E111" i="2"/>
  <c r="G111" i="2"/>
  <c r="I111" i="2"/>
  <c r="K111" i="2"/>
  <c r="M111" i="2"/>
  <c r="O111" i="2"/>
  <c r="Q111" i="2"/>
  <c r="S111" i="2"/>
  <c r="U111" i="2"/>
  <c r="Y57" i="2"/>
  <c r="E58" i="2"/>
  <c r="G58" i="2"/>
  <c r="I58" i="2"/>
  <c r="K58" i="2"/>
  <c r="M58" i="2"/>
  <c r="O58" i="2"/>
  <c r="Q58" i="2"/>
  <c r="S58" i="2"/>
  <c r="U58" i="2"/>
  <c r="D67" i="2"/>
  <c r="F67" i="2"/>
  <c r="H67" i="2"/>
  <c r="J67" i="2"/>
  <c r="L67" i="2"/>
  <c r="N67" i="2"/>
  <c r="P67" i="2"/>
  <c r="R67" i="2"/>
  <c r="T67" i="2"/>
  <c r="V67" i="2"/>
  <c r="E68" i="2"/>
  <c r="G68" i="2"/>
  <c r="I68" i="2"/>
  <c r="K68" i="2"/>
  <c r="M68" i="2"/>
  <c r="O68" i="2"/>
  <c r="Q68" i="2"/>
  <c r="S68" i="2"/>
  <c r="U68" i="2"/>
  <c r="F69" i="2"/>
  <c r="H69" i="2"/>
  <c r="J69" i="2"/>
  <c r="L69" i="2"/>
  <c r="N69" i="2"/>
  <c r="P69" i="2"/>
  <c r="R69" i="2"/>
  <c r="T69" i="2"/>
  <c r="V69" i="2"/>
  <c r="E70" i="2"/>
  <c r="G70" i="2"/>
  <c r="I70" i="2"/>
  <c r="K70" i="2"/>
  <c r="M70" i="2"/>
  <c r="O70" i="2"/>
  <c r="Q70" i="2"/>
  <c r="S70" i="2"/>
  <c r="U70" i="2"/>
  <c r="D73" i="2"/>
  <c r="F73" i="2"/>
  <c r="H73" i="2"/>
  <c r="J73" i="2"/>
  <c r="L73" i="2"/>
  <c r="N73" i="2"/>
  <c r="P73" i="2"/>
  <c r="R73" i="2"/>
  <c r="T73" i="2"/>
  <c r="V73" i="2"/>
  <c r="E74" i="2"/>
  <c r="G74" i="2"/>
  <c r="I74" i="2"/>
  <c r="K74" i="2"/>
  <c r="M74" i="2"/>
  <c r="O74" i="2"/>
  <c r="Q74" i="2"/>
  <c r="S74" i="2"/>
  <c r="U74" i="2"/>
  <c r="F75" i="2"/>
  <c r="H75" i="2"/>
  <c r="J75" i="2"/>
  <c r="L75" i="2"/>
  <c r="N75" i="2"/>
  <c r="P75" i="2"/>
  <c r="R75" i="2"/>
  <c r="T75" i="2"/>
  <c r="V75" i="2"/>
  <c r="E78" i="2"/>
  <c r="G78" i="2"/>
  <c r="I78" i="2"/>
  <c r="K78" i="2"/>
  <c r="M78" i="2"/>
  <c r="O78" i="2"/>
  <c r="Q78" i="2"/>
  <c r="S78" i="2"/>
  <c r="U78" i="2"/>
  <c r="D79" i="2"/>
  <c r="F79" i="2"/>
  <c r="H79" i="2"/>
  <c r="J79" i="2"/>
  <c r="L79" i="2"/>
  <c r="N79" i="2"/>
  <c r="P79" i="2"/>
  <c r="R79" i="2"/>
  <c r="T79" i="2"/>
  <c r="V79" i="2"/>
  <c r="E80" i="2"/>
  <c r="G80" i="2"/>
  <c r="I80" i="2"/>
  <c r="K80" i="2"/>
  <c r="M80" i="2"/>
  <c r="O80" i="2"/>
  <c r="Q80" i="2"/>
  <c r="S80" i="2"/>
  <c r="U80" i="2"/>
  <c r="E82" i="2"/>
  <c r="G82" i="2"/>
  <c r="I82" i="2"/>
  <c r="K82" i="2"/>
  <c r="M82" i="2"/>
  <c r="O82" i="2"/>
  <c r="Q82" i="2"/>
  <c r="S82" i="2"/>
  <c r="U82" i="2"/>
  <c r="E83" i="2"/>
  <c r="G83" i="2"/>
  <c r="I83" i="2"/>
  <c r="K83" i="2"/>
  <c r="M83" i="2"/>
  <c r="O83" i="2"/>
  <c r="Q83" i="2"/>
  <c r="S83" i="2"/>
  <c r="U83" i="2"/>
  <c r="X109" i="2"/>
  <c r="E112" i="2"/>
  <c r="G112" i="2"/>
  <c r="G126" i="2" s="1"/>
  <c r="I112" i="2"/>
  <c r="I126" i="2" s="1"/>
  <c r="K112" i="2"/>
  <c r="K126" i="2" s="1"/>
  <c r="M112" i="2"/>
  <c r="M126" i="2" s="1"/>
  <c r="O112" i="2"/>
  <c r="O126" i="2" s="1"/>
  <c r="Q112" i="2"/>
  <c r="Q126" i="2" s="1"/>
  <c r="S112" i="2"/>
  <c r="S126" i="2" s="1"/>
  <c r="U112" i="2"/>
  <c r="U126" i="2" s="1"/>
  <c r="D170" i="2"/>
  <c r="D187" i="2"/>
  <c r="E196" i="2" s="1"/>
  <c r="D188" i="2"/>
  <c r="E197" i="2" s="1"/>
  <c r="D189" i="2"/>
  <c r="E198" i="2" s="1"/>
  <c r="L140" i="2"/>
  <c r="L142" i="2"/>
  <c r="L144" i="2"/>
  <c r="L146" i="2"/>
  <c r="D165" i="2"/>
  <c r="D191" i="2"/>
  <c r="E200" i="2" s="1"/>
  <c r="D192" i="2"/>
  <c r="E201" i="2" s="1"/>
  <c r="D193" i="2"/>
  <c r="E202" i="2" s="1"/>
  <c r="W97" i="3"/>
  <c r="L139" i="2"/>
  <c r="B121" i="3"/>
  <c r="B120" i="3"/>
  <c r="D121" i="3"/>
  <c r="D120" i="3"/>
  <c r="F121" i="3"/>
  <c r="F120" i="3"/>
  <c r="H121" i="3"/>
  <c r="H120" i="3"/>
  <c r="J121" i="3"/>
  <c r="J120" i="3"/>
  <c r="L121" i="3"/>
  <c r="L120" i="3"/>
  <c r="N121" i="3"/>
  <c r="N120" i="3"/>
  <c r="P121" i="3"/>
  <c r="P120" i="3"/>
  <c r="R121" i="3"/>
  <c r="R120" i="3"/>
  <c r="T121" i="3"/>
  <c r="T120" i="3"/>
  <c r="T38" i="3"/>
  <c r="Y87" i="3"/>
  <c r="Y88" i="3"/>
  <c r="Y89" i="3"/>
  <c r="Y90" i="3"/>
  <c r="Y91" i="3"/>
  <c r="Y92" i="3"/>
  <c r="Y93" i="3"/>
  <c r="Y94" i="3"/>
  <c r="Y95" i="3"/>
  <c r="Y96" i="3"/>
  <c r="Y97" i="3"/>
  <c r="Y98" i="3"/>
  <c r="Y99" i="3"/>
  <c r="Y100" i="3"/>
  <c r="Y101" i="3"/>
  <c r="Y102" i="3"/>
  <c r="Y103" i="3"/>
  <c r="Y104" i="3"/>
  <c r="AB104" i="3" s="1"/>
  <c r="V104" i="3"/>
  <c r="Z104" i="3"/>
  <c r="W105" i="3"/>
  <c r="Y106" i="3"/>
  <c r="AB106" i="3" s="1"/>
  <c r="V106" i="3"/>
  <c r="Z106" i="3"/>
  <c r="W107" i="3"/>
  <c r="C120" i="3"/>
  <c r="C121" i="3"/>
  <c r="E120" i="3"/>
  <c r="E121" i="3"/>
  <c r="G120" i="3"/>
  <c r="G121" i="3"/>
  <c r="I120" i="3"/>
  <c r="I121" i="3"/>
  <c r="K120" i="3"/>
  <c r="W120" i="3" s="1"/>
  <c r="K121" i="3"/>
  <c r="M120" i="3"/>
  <c r="M121" i="3"/>
  <c r="O120" i="3"/>
  <c r="O121" i="3"/>
  <c r="Q120" i="3"/>
  <c r="Q121" i="3"/>
  <c r="S120" i="3"/>
  <c r="S121" i="3"/>
  <c r="W119" i="3"/>
  <c r="V87" i="3"/>
  <c r="X87" i="3"/>
  <c r="V88" i="3"/>
  <c r="X88" i="3"/>
  <c r="V89" i="3"/>
  <c r="X89" i="3"/>
  <c r="V90" i="3"/>
  <c r="X90" i="3"/>
  <c r="V91" i="3"/>
  <c r="X91" i="3"/>
  <c r="V92" i="3"/>
  <c r="X92" i="3"/>
  <c r="V93" i="3"/>
  <c r="X93" i="3"/>
  <c r="V94" i="3"/>
  <c r="X94" i="3"/>
  <c r="V95" i="3"/>
  <c r="X95" i="3"/>
  <c r="V96" i="3"/>
  <c r="X96" i="3"/>
  <c r="V97" i="3"/>
  <c r="X97" i="3"/>
  <c r="V98" i="3"/>
  <c r="X98" i="3"/>
  <c r="V99" i="3"/>
  <c r="X99" i="3"/>
  <c r="V100" i="3"/>
  <c r="X100" i="3"/>
  <c r="V101" i="3"/>
  <c r="X101" i="3"/>
  <c r="V102" i="3"/>
  <c r="X102" i="3"/>
  <c r="V103" i="3"/>
  <c r="X103" i="3"/>
  <c r="Y105" i="3"/>
  <c r="AB105" i="3" s="1"/>
  <c r="V105" i="3"/>
  <c r="Z105" i="3"/>
  <c r="Y107" i="3"/>
  <c r="AB107" i="3" s="1"/>
  <c r="AB109" i="3"/>
  <c r="AB111" i="3"/>
  <c r="AB113" i="3"/>
  <c r="AB115" i="3"/>
  <c r="V107" i="3"/>
  <c r="X107" i="3"/>
  <c r="Z107" i="3"/>
  <c r="V108" i="3"/>
  <c r="X108" i="3"/>
  <c r="AB108" i="3" s="1"/>
  <c r="Z108" i="3"/>
  <c r="V109" i="3"/>
  <c r="X109" i="3"/>
  <c r="Z109" i="3"/>
  <c r="V110" i="3"/>
  <c r="X110" i="3"/>
  <c r="AB110" i="3" s="1"/>
  <c r="Z110" i="3"/>
  <c r="V111" i="3"/>
  <c r="X111" i="3"/>
  <c r="Z111" i="3"/>
  <c r="V112" i="3"/>
  <c r="X112" i="3"/>
  <c r="AB112" i="3" s="1"/>
  <c r="Z112" i="3"/>
  <c r="V113" i="3"/>
  <c r="X113" i="3"/>
  <c r="Z113" i="3"/>
  <c r="V114" i="3"/>
  <c r="X114" i="3"/>
  <c r="AB114" i="3" s="1"/>
  <c r="Z114" i="3"/>
  <c r="V115" i="3"/>
  <c r="X115" i="3"/>
  <c r="Z115" i="3"/>
  <c r="V116" i="3"/>
  <c r="X116" i="3"/>
  <c r="AB116" i="3" s="1"/>
  <c r="V117" i="3"/>
  <c r="X117" i="3"/>
  <c r="AB117" i="3" s="1"/>
  <c r="Z117" i="3"/>
  <c r="V118" i="3"/>
  <c r="X118" i="3"/>
  <c r="AB118" i="3" s="1"/>
  <c r="Z118" i="3"/>
  <c r="E203" i="2" l="1"/>
  <c r="F199" i="2" s="1"/>
  <c r="F201" i="2"/>
  <c r="AB102" i="3"/>
  <c r="AB100" i="3"/>
  <c r="AB98" i="3"/>
  <c r="AB96" i="3"/>
  <c r="AB94" i="3"/>
  <c r="AB92" i="3"/>
  <c r="AB90" i="3"/>
  <c r="AB88" i="3"/>
  <c r="T119" i="3"/>
  <c r="V38" i="3"/>
  <c r="Z121" i="3"/>
  <c r="X121" i="3"/>
  <c r="V121" i="3"/>
  <c r="Y121" i="3"/>
  <c r="E126" i="2"/>
  <c r="U122" i="2"/>
  <c r="U95" i="2"/>
  <c r="Q122" i="2"/>
  <c r="Q95" i="2"/>
  <c r="M122" i="2"/>
  <c r="M95" i="2"/>
  <c r="I122" i="2"/>
  <c r="I95" i="2"/>
  <c r="E122" i="2"/>
  <c r="E95" i="2"/>
  <c r="T93" i="2"/>
  <c r="T91" i="2"/>
  <c r="P93" i="2"/>
  <c r="P91" i="2"/>
  <c r="L93" i="2"/>
  <c r="L91" i="2"/>
  <c r="H93" i="2"/>
  <c r="H91" i="2"/>
  <c r="D93" i="2"/>
  <c r="D91" i="2"/>
  <c r="S87" i="2"/>
  <c r="O87" i="2"/>
  <c r="K87" i="2"/>
  <c r="G87" i="2"/>
  <c r="T102" i="2"/>
  <c r="T92" i="2"/>
  <c r="P102" i="2"/>
  <c r="P92" i="2"/>
  <c r="L102" i="2"/>
  <c r="L92" i="2"/>
  <c r="H102" i="2"/>
  <c r="H92" i="2"/>
  <c r="V122" i="2"/>
  <c r="V95" i="2"/>
  <c r="V124" i="2" s="1"/>
  <c r="R122" i="2"/>
  <c r="R95" i="2"/>
  <c r="N122" i="2"/>
  <c r="N95" i="2"/>
  <c r="J122" i="2"/>
  <c r="J95" i="2"/>
  <c r="F122" i="2"/>
  <c r="F95" i="2"/>
  <c r="U93" i="2"/>
  <c r="U91" i="2"/>
  <c r="U104" i="2" s="1"/>
  <c r="Q93" i="2"/>
  <c r="Q91" i="2"/>
  <c r="Q104" i="2" s="1"/>
  <c r="M93" i="2"/>
  <c r="M91" i="2"/>
  <c r="M104" i="2" s="1"/>
  <c r="I93" i="2"/>
  <c r="I91" i="2"/>
  <c r="I104" i="2" s="1"/>
  <c r="E93" i="2"/>
  <c r="E91" i="2"/>
  <c r="E104" i="2" s="1"/>
  <c r="T78" i="2"/>
  <c r="P78" i="2"/>
  <c r="L78" i="2"/>
  <c r="H78" i="2"/>
  <c r="D78" i="2"/>
  <c r="D87" i="2" s="1"/>
  <c r="E116" i="2" s="1"/>
  <c r="W121" i="3"/>
  <c r="AB103" i="3"/>
  <c r="AB101" i="3"/>
  <c r="AB99" i="3"/>
  <c r="AB97" i="3"/>
  <c r="AB95" i="3"/>
  <c r="AB93" i="3"/>
  <c r="AB91" i="3"/>
  <c r="AB89" i="3"/>
  <c r="AB87" i="3"/>
  <c r="Y120" i="3"/>
  <c r="Z120" i="3"/>
  <c r="X120" i="3"/>
  <c r="V120" i="3"/>
  <c r="S122" i="2"/>
  <c r="S95" i="2"/>
  <c r="O122" i="2"/>
  <c r="O95" i="2"/>
  <c r="K122" i="2"/>
  <c r="K95" i="2"/>
  <c r="G122" i="2"/>
  <c r="G95" i="2"/>
  <c r="V93" i="2"/>
  <c r="V91" i="2"/>
  <c r="V104" i="2" s="1"/>
  <c r="R93" i="2"/>
  <c r="R91" i="2"/>
  <c r="R104" i="2" s="1"/>
  <c r="N93" i="2"/>
  <c r="N91" i="2"/>
  <c r="N104" i="2" s="1"/>
  <c r="J93" i="2"/>
  <c r="J91" i="2"/>
  <c r="J104" i="2" s="1"/>
  <c r="F93" i="2"/>
  <c r="F91" i="2"/>
  <c r="F104" i="2" s="1"/>
  <c r="U115" i="2"/>
  <c r="U129" i="2" s="1"/>
  <c r="U87" i="2"/>
  <c r="Q115" i="2"/>
  <c r="Q129" i="2" s="1"/>
  <c r="Q87" i="2"/>
  <c r="M115" i="2"/>
  <c r="M129" i="2" s="1"/>
  <c r="M87" i="2"/>
  <c r="I115" i="2"/>
  <c r="I129" i="2" s="1"/>
  <c r="I87" i="2"/>
  <c r="E115" i="2"/>
  <c r="E87" i="2"/>
  <c r="X111" i="2"/>
  <c r="V102" i="2"/>
  <c r="V105" i="2" s="1"/>
  <c r="V119" i="2" s="1"/>
  <c r="V92" i="2"/>
  <c r="R102" i="2"/>
  <c r="R105" i="2" s="1"/>
  <c r="R119" i="2" s="1"/>
  <c r="R92" i="2"/>
  <c r="N102" i="2"/>
  <c r="N105" i="2" s="1"/>
  <c r="N119" i="2" s="1"/>
  <c r="N92" i="2"/>
  <c r="J102" i="2"/>
  <c r="J105" i="2" s="1"/>
  <c r="J119" i="2" s="1"/>
  <c r="J92" i="2"/>
  <c r="F102" i="2"/>
  <c r="F105" i="2" s="1"/>
  <c r="F119" i="2" s="1"/>
  <c r="F92" i="2"/>
  <c r="T122" i="2"/>
  <c r="T95" i="2"/>
  <c r="P122" i="2"/>
  <c r="P95" i="2"/>
  <c r="L122" i="2"/>
  <c r="L95" i="2"/>
  <c r="H122" i="2"/>
  <c r="H95" i="2"/>
  <c r="S91" i="2"/>
  <c r="S104" i="2" s="1"/>
  <c r="S93" i="2"/>
  <c r="O91" i="2"/>
  <c r="O104" i="2" s="1"/>
  <c r="O93" i="2"/>
  <c r="K91" i="2"/>
  <c r="K104" i="2" s="1"/>
  <c r="K93" i="2"/>
  <c r="G91" i="2"/>
  <c r="G104" i="2" s="1"/>
  <c r="G93" i="2"/>
  <c r="V78" i="2"/>
  <c r="R78" i="2"/>
  <c r="N78" i="2"/>
  <c r="J78" i="2"/>
  <c r="F78" i="2"/>
  <c r="J110" i="2"/>
  <c r="J112" i="2" s="1"/>
  <c r="J126" i="2" s="1"/>
  <c r="F110" i="2"/>
  <c r="F112" i="2" s="1"/>
  <c r="F126" i="2" s="1"/>
  <c r="U102" i="2"/>
  <c r="U105" i="2" s="1"/>
  <c r="U119" i="2" s="1"/>
  <c r="U133" i="2" s="1"/>
  <c r="Q102" i="2"/>
  <c r="Q105" i="2" s="1"/>
  <c r="Q119" i="2" s="1"/>
  <c r="Q133" i="2" s="1"/>
  <c r="M102" i="2"/>
  <c r="M105" i="2" s="1"/>
  <c r="M119" i="2" s="1"/>
  <c r="M133" i="2" s="1"/>
  <c r="I102" i="2"/>
  <c r="I105" i="2" s="1"/>
  <c r="I119" i="2" s="1"/>
  <c r="I133" i="2" s="1"/>
  <c r="E102" i="2"/>
  <c r="E105" i="2" s="1"/>
  <c r="E119" i="2" s="1"/>
  <c r="V110" i="2"/>
  <c r="V112" i="2" s="1"/>
  <c r="V126" i="2" s="1"/>
  <c r="T110" i="2"/>
  <c r="T112" i="2" s="1"/>
  <c r="T126" i="2" s="1"/>
  <c r="R110" i="2"/>
  <c r="R112" i="2" s="1"/>
  <c r="R126" i="2" s="1"/>
  <c r="P110" i="2"/>
  <c r="P112" i="2" s="1"/>
  <c r="P126" i="2" s="1"/>
  <c r="N110" i="2"/>
  <c r="N112" i="2" s="1"/>
  <c r="N126" i="2" s="1"/>
  <c r="L110" i="2"/>
  <c r="L112" i="2" s="1"/>
  <c r="L126" i="2" s="1"/>
  <c r="H110" i="2"/>
  <c r="H112" i="2" s="1"/>
  <c r="H126" i="2" s="1"/>
  <c r="S102" i="2"/>
  <c r="S105" i="2" s="1"/>
  <c r="S119" i="2" s="1"/>
  <c r="S133" i="2" s="1"/>
  <c r="O102" i="2"/>
  <c r="O105" i="2" s="1"/>
  <c r="O119" i="2" s="1"/>
  <c r="O133" i="2" s="1"/>
  <c r="K102" i="2"/>
  <c r="K105" i="2" s="1"/>
  <c r="K119" i="2" s="1"/>
  <c r="K133" i="2" s="1"/>
  <c r="G102" i="2"/>
  <c r="G105" i="2" s="1"/>
  <c r="G119" i="2" s="1"/>
  <c r="G133" i="2" s="1"/>
  <c r="E133" i="2" l="1"/>
  <c r="F115" i="2"/>
  <c r="F129" i="2" s="1"/>
  <c r="F87" i="2"/>
  <c r="N115" i="2"/>
  <c r="N129" i="2" s="1"/>
  <c r="N87" i="2"/>
  <c r="V115" i="2"/>
  <c r="V129" i="2" s="1"/>
  <c r="V87" i="2"/>
  <c r="V117" i="2" s="1"/>
  <c r="F133" i="2"/>
  <c r="J133" i="2"/>
  <c r="N133" i="2"/>
  <c r="R133" i="2"/>
  <c r="V133" i="2"/>
  <c r="E117" i="2"/>
  <c r="F116" i="2"/>
  <c r="J116" i="2"/>
  <c r="M117" i="2"/>
  <c r="N116" i="2"/>
  <c r="R116" i="2"/>
  <c r="U117" i="2"/>
  <c r="V116" i="2"/>
  <c r="G124" i="2"/>
  <c r="G125" i="2" s="1"/>
  <c r="H123" i="2"/>
  <c r="K124" i="2"/>
  <c r="K125" i="2" s="1"/>
  <c r="L123" i="2"/>
  <c r="O124" i="2"/>
  <c r="O125" i="2" s="1"/>
  <c r="P123" i="2"/>
  <c r="S124" i="2"/>
  <c r="S125" i="2" s="1"/>
  <c r="T123" i="2"/>
  <c r="X110" i="2"/>
  <c r="H115" i="2"/>
  <c r="H129" i="2" s="1"/>
  <c r="H87" i="2"/>
  <c r="P115" i="2"/>
  <c r="P129" i="2" s="1"/>
  <c r="P87" i="2"/>
  <c r="F124" i="2"/>
  <c r="F125" i="2" s="1"/>
  <c r="G123" i="2"/>
  <c r="J124" i="2"/>
  <c r="J125" i="2" s="1"/>
  <c r="K123" i="2"/>
  <c r="N124" i="2"/>
  <c r="N125" i="2" s="1"/>
  <c r="O123" i="2"/>
  <c r="R124" i="2"/>
  <c r="R125" i="2" s="1"/>
  <c r="S123" i="2"/>
  <c r="V125" i="2"/>
  <c r="G117" i="2"/>
  <c r="H116" i="2"/>
  <c r="H130" i="2" s="1"/>
  <c r="K117" i="2"/>
  <c r="L116" i="2"/>
  <c r="L130" i="2" s="1"/>
  <c r="O117" i="2"/>
  <c r="P116" i="2"/>
  <c r="P130" i="2" s="1"/>
  <c r="S117" i="2"/>
  <c r="T116" i="2"/>
  <c r="T130" i="2" s="1"/>
  <c r="H104" i="2"/>
  <c r="L104" i="2"/>
  <c r="P104" i="2"/>
  <c r="T104" i="2"/>
  <c r="E124" i="2"/>
  <c r="F123" i="2"/>
  <c r="I124" i="2"/>
  <c r="I125" i="2" s="1"/>
  <c r="J123" i="2"/>
  <c r="M124" i="2"/>
  <c r="M125" i="2" s="1"/>
  <c r="N123" i="2"/>
  <c r="Q124" i="2"/>
  <c r="Q125" i="2" s="1"/>
  <c r="R123" i="2"/>
  <c r="U124" i="2"/>
  <c r="U125" i="2" s="1"/>
  <c r="V123" i="2"/>
  <c r="X112" i="2"/>
  <c r="F197" i="2"/>
  <c r="F196" i="2"/>
  <c r="F200" i="2"/>
  <c r="J115" i="2"/>
  <c r="J129" i="2" s="1"/>
  <c r="J87" i="2"/>
  <c r="R115" i="2"/>
  <c r="R129" i="2" s="1"/>
  <c r="R87" i="2"/>
  <c r="H124" i="2"/>
  <c r="H125" i="2" s="1"/>
  <c r="I123" i="2"/>
  <c r="L124" i="2"/>
  <c r="L125" i="2" s="1"/>
  <c r="M123" i="2"/>
  <c r="P124" i="2"/>
  <c r="P125" i="2" s="1"/>
  <c r="Q123" i="2"/>
  <c r="T124" i="2"/>
  <c r="T125" i="2" s="1"/>
  <c r="U123" i="2"/>
  <c r="E129" i="2"/>
  <c r="E130" i="2"/>
  <c r="L115" i="2"/>
  <c r="L129" i="2" s="1"/>
  <c r="L87" i="2"/>
  <c r="T115" i="2"/>
  <c r="T129" i="2" s="1"/>
  <c r="T87" i="2"/>
  <c r="H105" i="2"/>
  <c r="H119" i="2" s="1"/>
  <c r="H133" i="2" s="1"/>
  <c r="L105" i="2"/>
  <c r="L119" i="2" s="1"/>
  <c r="L133" i="2" s="1"/>
  <c r="P105" i="2"/>
  <c r="P119" i="2" s="1"/>
  <c r="P133" i="2" s="1"/>
  <c r="T105" i="2"/>
  <c r="T119" i="2" s="1"/>
  <c r="T133" i="2" s="1"/>
  <c r="G115" i="2"/>
  <c r="G129" i="2" s="1"/>
  <c r="K115" i="2"/>
  <c r="K129" i="2" s="1"/>
  <c r="O115" i="2"/>
  <c r="O129" i="2" s="1"/>
  <c r="S115" i="2"/>
  <c r="S129" i="2" s="1"/>
  <c r="X122" i="2"/>
  <c r="X126" i="2"/>
  <c r="Y119" i="3"/>
  <c r="AB119" i="3" s="1"/>
  <c r="Z119" i="3"/>
  <c r="X119" i="3"/>
  <c r="V119" i="3"/>
  <c r="F198" i="2"/>
  <c r="F202" i="2"/>
  <c r="X129" i="2" l="1"/>
  <c r="X124" i="2"/>
  <c r="E125" i="2"/>
  <c r="X125" i="2" s="1"/>
  <c r="S118" i="2"/>
  <c r="S132" i="2" s="1"/>
  <c r="S131" i="2"/>
  <c r="O118" i="2"/>
  <c r="O132" i="2" s="1"/>
  <c r="O131" i="2"/>
  <c r="K118" i="2"/>
  <c r="K132" i="2" s="1"/>
  <c r="K131" i="2"/>
  <c r="G118" i="2"/>
  <c r="G132" i="2" s="1"/>
  <c r="G131" i="2"/>
  <c r="P117" i="2"/>
  <c r="Q116" i="2"/>
  <c r="Q130" i="2" s="1"/>
  <c r="H117" i="2"/>
  <c r="I116" i="2"/>
  <c r="I130" i="2" s="1"/>
  <c r="U118" i="2"/>
  <c r="U132" i="2" s="1"/>
  <c r="U131" i="2"/>
  <c r="Q117" i="2"/>
  <c r="M118" i="2"/>
  <c r="M132" i="2" s="1"/>
  <c r="M131" i="2"/>
  <c r="I117" i="2"/>
  <c r="E118" i="2"/>
  <c r="E131" i="2"/>
  <c r="V131" i="2"/>
  <c r="V118" i="2"/>
  <c r="V132" i="2" s="1"/>
  <c r="N117" i="2"/>
  <c r="O116" i="2"/>
  <c r="O130" i="2" s="1"/>
  <c r="F117" i="2"/>
  <c r="G116" i="2"/>
  <c r="X119" i="2"/>
  <c r="T117" i="2"/>
  <c r="U116" i="2"/>
  <c r="U130" i="2" s="1"/>
  <c r="L117" i="2"/>
  <c r="M116" i="2"/>
  <c r="M130" i="2" s="1"/>
  <c r="X115" i="2"/>
  <c r="R117" i="2"/>
  <c r="S116" i="2"/>
  <c r="S130" i="2" s="1"/>
  <c r="J117" i="2"/>
  <c r="K116" i="2"/>
  <c r="K130" i="2" s="1"/>
  <c r="X123" i="2"/>
  <c r="V130" i="2"/>
  <c r="R130" i="2"/>
  <c r="N130" i="2"/>
  <c r="J130" i="2"/>
  <c r="F130" i="2"/>
  <c r="X133" i="2"/>
  <c r="J131" i="2" l="1"/>
  <c r="J118" i="2"/>
  <c r="J132" i="2" s="1"/>
  <c r="R131" i="2"/>
  <c r="R118" i="2"/>
  <c r="R132" i="2" s="1"/>
  <c r="F131" i="2"/>
  <c r="F118" i="2"/>
  <c r="F132" i="2" s="1"/>
  <c r="N131" i="2"/>
  <c r="N118" i="2"/>
  <c r="N132" i="2" s="1"/>
  <c r="I118" i="2"/>
  <c r="I132" i="2" s="1"/>
  <c r="I131" i="2"/>
  <c r="L131" i="2"/>
  <c r="L118" i="2"/>
  <c r="L132" i="2" s="1"/>
  <c r="T131" i="2"/>
  <c r="T118" i="2"/>
  <c r="T132" i="2" s="1"/>
  <c r="G130" i="2"/>
  <c r="X130" i="2" s="1"/>
  <c r="X116" i="2"/>
  <c r="X117" i="2"/>
  <c r="E132" i="2"/>
  <c r="Q118" i="2"/>
  <c r="Q132" i="2" s="1"/>
  <c r="Q131" i="2"/>
  <c r="H131" i="2"/>
  <c r="X131" i="2" s="1"/>
  <c r="H118" i="2"/>
  <c r="H132" i="2" s="1"/>
  <c r="P131" i="2"/>
  <c r="P118" i="2"/>
  <c r="P132" i="2" s="1"/>
  <c r="X132" i="2" l="1"/>
  <c r="X118" i="2"/>
</calcChain>
</file>

<file path=xl/comments1.xml><?xml version="1.0" encoding="utf-8"?>
<comments xmlns="http://schemas.openxmlformats.org/spreadsheetml/2006/main">
  <authors>
    <author>Karine POLLIER</author>
  </authors>
  <commentList>
    <comment ref="A79" authorId="0">
      <text>
        <r>
          <rPr>
            <b/>
            <sz val="8"/>
            <color indexed="81"/>
            <rFont val="Tahoma"/>
            <family val="2"/>
          </rPr>
          <t>Karine POLLIER:</t>
        </r>
        <r>
          <rPr>
            <sz val="8"/>
            <color indexed="81"/>
            <rFont val="Tahoma"/>
            <family val="2"/>
          </rPr>
          <t xml:space="preserve">
Trains' technical coefficients for goods transport = 2,5
coefficient for passenger = 1,7</t>
        </r>
      </text>
    </comment>
    <comment ref="A81" authorId="0">
      <text>
        <r>
          <rPr>
            <b/>
            <sz val="8"/>
            <color indexed="81"/>
            <rFont val="Tahoma"/>
            <family val="2"/>
          </rPr>
          <t>Karine POLLIER:</t>
        </r>
        <r>
          <rPr>
            <sz val="8"/>
            <color indexed="81"/>
            <rFont val="Tahoma"/>
            <family val="2"/>
          </rPr>
          <t xml:space="preserve">
Trains' technical coefficients for goods transport = 2,5
coefficient for passenger = 1,7</t>
        </r>
      </text>
    </comment>
    <comment ref="A100" authorId="0">
      <text>
        <r>
          <rPr>
            <b/>
            <sz val="8"/>
            <color indexed="81"/>
            <rFont val="Tahoma"/>
            <family val="2"/>
          </rPr>
          <t>Karine POLLIER:</t>
        </r>
        <r>
          <rPr>
            <sz val="8"/>
            <color indexed="81"/>
            <rFont val="Tahoma"/>
            <family val="2"/>
          </rPr>
          <t xml:space="preserve">
var (toccfpas/pkm) * pkm</t>
        </r>
      </text>
    </comment>
    <comment ref="A108" authorId="0">
      <text>
        <r>
          <rPr>
            <b/>
            <sz val="8"/>
            <color indexed="81"/>
            <rFont val="Tahoma"/>
            <family val="2"/>
          </rPr>
          <t>Karine POLLIER:</t>
        </r>
        <r>
          <rPr>
            <sz val="8"/>
            <color indexed="81"/>
            <rFont val="Tahoma"/>
            <family val="2"/>
          </rPr>
          <t xml:space="preserve">
var (toccfmch/tkm) * tkm</t>
        </r>
      </text>
    </comment>
  </commentList>
</comments>
</file>

<file path=xl/comments2.xml><?xml version="1.0" encoding="utf-8"?>
<comments xmlns="http://schemas.openxmlformats.org/spreadsheetml/2006/main">
  <authors>
    <author>Bruno LAPILLONNE</author>
  </authors>
  <commentList>
    <comment ref="X35" authorId="0">
      <text>
        <r>
          <rPr>
            <b/>
            <sz val="8"/>
            <color indexed="81"/>
            <rFont val="Tahoma"/>
            <family val="2"/>
          </rPr>
          <t>Bruno LAPILLONNE:</t>
        </r>
        <r>
          <rPr>
            <sz val="8"/>
            <color indexed="81"/>
            <rFont val="Tahoma"/>
            <family val="2"/>
          </rPr>
          <t xml:space="preserve">
2006
</t>
        </r>
      </text>
    </comment>
  </commentList>
</comments>
</file>

<file path=xl/sharedStrings.xml><?xml version="1.0" encoding="utf-8"?>
<sst xmlns="http://schemas.openxmlformats.org/spreadsheetml/2006/main" count="881" uniqueCount="393">
  <si>
    <t>Data on transport (Fact sheet ENER23: Transport energy consumption and emissions)</t>
  </si>
  <si>
    <t>Data sources</t>
  </si>
  <si>
    <t xml:space="preserve">Eurostat : </t>
  </si>
  <si>
    <t>Graphs 2 and 3 : based on Eurostat data (extracted on August 2010)</t>
  </si>
  <si>
    <r>
      <t xml:space="preserve">Energy consumption available at     </t>
    </r>
    <r>
      <rPr>
        <u/>
        <sz val="11"/>
        <color indexed="62"/>
        <rFont val="Calibri"/>
        <family val="2"/>
      </rPr>
      <t>http://appsso.eurostat.ec.europa.eu/nui/show.do?dataset=nrg_100a&amp;lang=en</t>
    </r>
  </si>
  <si>
    <t>Final energy consumption - Transport</t>
  </si>
  <si>
    <t xml:space="preserve">  Reference of the table : nrg_100a</t>
  </si>
  <si>
    <t xml:space="preserve">  Code of the dataserie : 101900</t>
  </si>
  <si>
    <r>
      <t xml:space="preserve">Data on population (by sex and age on 1st January of each year) available at   </t>
    </r>
    <r>
      <rPr>
        <u/>
        <sz val="11"/>
        <color indexed="62"/>
        <rFont val="Calibri"/>
        <family val="2"/>
      </rPr>
      <t>http://appsso.eurostat.ec.europa.eu/nui/setupModifyTableLayout.do</t>
    </r>
  </si>
  <si>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</si>
  <si>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</si>
  <si>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</si>
  <si>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</si>
  <si>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</si>
  <si>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</si>
  <si>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r>
      <t xml:space="preserve">  Available at : </t>
    </r>
    <r>
      <rPr>
        <u/>
        <sz val="11"/>
        <color indexed="56"/>
        <rFont val="Calibri"/>
        <family val="2"/>
      </rPr>
      <t>http://ec.europa.eu/transport/publications/statistics/doc/2009_energy_transport_figures.pdf</t>
    </r>
  </si>
  <si>
    <t xml:space="preserve">ODYSSEE database : </t>
  </si>
  <si>
    <t>Graphs 1 to 6 : based on ODYSSEE database (last update : October 2010)</t>
  </si>
  <si>
    <r>
      <t xml:space="preserve">The Odyssee database is available at  </t>
    </r>
    <r>
      <rPr>
        <u/>
        <sz val="11"/>
        <color indexed="62"/>
        <rFont val="Calibri"/>
        <family val="2"/>
      </rPr>
      <t xml:space="preserve">http://www.odyssee-indicators.org/   </t>
    </r>
  </si>
  <si>
    <t>The access is restricted to project partners or subscribers</t>
  </si>
  <si>
    <t>EEA</t>
  </si>
  <si>
    <t xml:space="preserve">Graph 7 : Data on CO2 from  EEA  (from June 2010) : CO2 emissions for total transport, road, rail, waterways and domestic air </t>
  </si>
  <si>
    <r>
      <t xml:space="preserve">Source : EEA GHG data viewer available at    </t>
    </r>
    <r>
      <rPr>
        <u/>
        <sz val="11"/>
        <color indexed="62"/>
        <rFont val="Calibri"/>
        <family val="2"/>
      </rPr>
      <t xml:space="preserve"> http://dataservice.eea.europa.eu/PivotApp/pivot.aspx?pivotid=475</t>
    </r>
  </si>
  <si>
    <t xml:space="preserve">    based on the Annual European Community Greenhouse gas inventory 1990-2008 and inventories report 2010</t>
  </si>
  <si>
    <t>This file gathers all the graphs presented in the ENER23 fact sheet on transport</t>
  </si>
  <si>
    <t>Definitions &amp; calculations</t>
  </si>
  <si>
    <t>Graph 1:</t>
  </si>
  <si>
    <t>Energy Efficiency ODEX</t>
  </si>
  <si>
    <t>For the transport sector, the ODEX is calculated out at the level of 8 modes or vehicle types: cars, trucks, light vehicles, motorcycles, buses, total air transport, rail, and water transport. The overall energy efficiency index aggregates the trends for each transport mode in a single indicator for the whole sector</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</si>
  <si>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</si>
  <si>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</si>
  <si>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</si>
  <si>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</si>
  <si>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</si>
  <si>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</si>
  <si>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</si>
  <si>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</si>
  <si>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</si>
  <si>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</si>
  <si>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</si>
  <si>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</si>
  <si>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</si>
  <si>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</si>
  <si>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r>
      <rPr>
        <sz val="11"/>
        <color theme="1"/>
        <rFont val="Calibri"/>
        <family val="2"/>
        <scheme val="minor"/>
      </rPr>
      <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</si>
  <si>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</si>
  <si>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</si>
  <si>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theme="1"/>
        <rFont val="Calibri"/>
        <family val="2"/>
        <scheme val="minor"/>
      </rPr>
      <t xml:space="preserve">: share of mode  i in total consumption. </t>
    </r>
  </si>
  <si>
    <t xml:space="preserve">The value at year t can be derived from the value at the previous year by reversing the calculation: </t>
  </si>
  <si>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</si>
  <si>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</si>
  <si>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t xml:space="preserve">Graph 2-3: </t>
  </si>
  <si>
    <t>% change in final consumption per capita (1990-2008)</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</si>
  <si>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</si>
  <si>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</si>
  <si>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</si>
  <si>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</si>
  <si>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</si>
  <si>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</si>
  <si>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</si>
  <si>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</si>
  <si>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2008</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</si>
  <si>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</si>
  <si>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</si>
  <si>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</si>
  <si>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</si>
  <si>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</si>
  <si>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</si>
  <si>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</si>
  <si>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</si>
  <si>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</si>
  <si>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</si>
  <si>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</si>
  <si>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</si>
  <si>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</si>
  <si>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</si>
  <si>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</si>
  <si>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</si>
  <si>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</si>
  <si>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</si>
  <si>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</si>
  <si>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</si>
  <si>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</si>
  <si>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</si>
  <si>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</si>
  <si>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</si>
  <si>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</si>
  <si>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</si>
  <si>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</si>
  <si>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</si>
  <si>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October 2010); Source of data : national data</t>
  </si>
  <si>
    <t>For EU, the data sources are the following:</t>
  </si>
  <si>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</si>
  <si>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</si>
  <si>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</si>
  <si>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</si>
  <si>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</si>
  <si>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t>the weighting factor is the number of cars in each country.</t>
  </si>
  <si>
    <r>
      <t>-</t>
    </r>
    <r>
      <rPr>
        <sz val="7"/>
        <color indexed="8"/>
        <rFont val="Calibri"/>
        <family val="2"/>
      </rPr>
      <t xml:space="preserve">     </t>
    </r>
    <r>
      <rPr>
        <sz val="11"/>
        <color indexed="8"/>
        <rFont val="Calibri"/>
        <family val="2"/>
      </rPr>
      <t>Stock of vehicles: as a sum of countries (all data by countries available)</t>
    </r>
  </si>
  <si>
    <t>Graph 1 : ODEX for EU-27</t>
  </si>
  <si>
    <t>Overall</t>
  </si>
  <si>
    <t>100=1990</t>
  </si>
  <si>
    <t>EU 27</t>
  </si>
  <si>
    <t>Odyssee</t>
  </si>
  <si>
    <t>Cars</t>
  </si>
  <si>
    <t>EU 28</t>
  </si>
  <si>
    <t>Trucks and light vehicles</t>
  </si>
  <si>
    <t>EU 29</t>
  </si>
  <si>
    <t>Air transport</t>
  </si>
  <si>
    <t>EU 30</t>
  </si>
  <si>
    <t>Rail</t>
  </si>
  <si>
    <t>EU 31</t>
  </si>
  <si>
    <t>Data for graph 4:</t>
  </si>
  <si>
    <t>1990-2008,  %/year</t>
  </si>
  <si>
    <t>%/year</t>
  </si>
  <si>
    <t>Energy consumption by mode EU27</t>
  </si>
  <si>
    <t>Share 2008</t>
  </si>
  <si>
    <t>1990-2000</t>
  </si>
  <si>
    <t>2000-2008</t>
  </si>
  <si>
    <t>Car consumption</t>
  </si>
  <si>
    <t>Mtoe</t>
  </si>
  <si>
    <t>Motorbike consumption</t>
  </si>
  <si>
    <t>Bus consumption</t>
  </si>
  <si>
    <t>Trucks &amp; light vehicles cons</t>
  </si>
  <si>
    <t>Air consumption</t>
  </si>
  <si>
    <t>Eurostat</t>
  </si>
  <si>
    <t>Inlandwaterways cons</t>
  </si>
  <si>
    <t>Rail consumption</t>
  </si>
  <si>
    <t>Total</t>
  </si>
  <si>
    <t xml:space="preserve">  Share of road in total transport</t>
  </si>
  <si>
    <t>%</t>
  </si>
  <si>
    <t xml:space="preserve">Data for graph 5: Data necessary to breakdown energy consumption </t>
  </si>
  <si>
    <t>Transport energy consumption by mode</t>
  </si>
  <si>
    <t>road</t>
  </si>
  <si>
    <t xml:space="preserve"> cars</t>
  </si>
  <si>
    <t xml:space="preserve">      gasoline</t>
  </si>
  <si>
    <t xml:space="preserve">      diesel</t>
  </si>
  <si>
    <t xml:space="preserve">      LPG</t>
  </si>
  <si>
    <t xml:space="preserve"> goods transport</t>
  </si>
  <si>
    <t xml:space="preserve"> buses</t>
  </si>
  <si>
    <t>rail transport</t>
  </si>
  <si>
    <t>water transport</t>
  </si>
  <si>
    <t>total transport without air</t>
  </si>
  <si>
    <t>Data on trafic, specific consumption, stock</t>
  </si>
  <si>
    <t>specific cons of cars, of which :</t>
  </si>
  <si>
    <t>l/100km</t>
  </si>
  <si>
    <t xml:space="preserve">    gasoline cars</t>
  </si>
  <si>
    <t xml:space="preserve">    diesel cars</t>
  </si>
  <si>
    <t>stock of cars, of which:</t>
  </si>
  <si>
    <t>k</t>
  </si>
  <si>
    <t>average km per car</t>
  </si>
  <si>
    <t>km/year</t>
  </si>
  <si>
    <t>stock of trucks &amp; light vehicles</t>
  </si>
  <si>
    <t>stock of bus</t>
  </si>
  <si>
    <t>stock of mototcycles</t>
  </si>
  <si>
    <t>Passenger traffic</t>
  </si>
  <si>
    <t>gasoline: 0,8 toe/1000 l</t>
  </si>
  <si>
    <t>diesel: 0,88 toe/1000 l</t>
  </si>
  <si>
    <t>Gpkm</t>
  </si>
  <si>
    <t>DGTREN</t>
  </si>
  <si>
    <t>1 toe gasoline=1250 l</t>
  </si>
  <si>
    <t>1 tep diesel =1140 l</t>
  </si>
  <si>
    <t>bus</t>
  </si>
  <si>
    <t>rail</t>
  </si>
  <si>
    <t>tram, metro</t>
  </si>
  <si>
    <t>total</t>
  </si>
  <si>
    <t>Share of public transport in pkm</t>
  </si>
  <si>
    <t>Traffic of goods</t>
  </si>
  <si>
    <t>Gtkm</t>
  </si>
  <si>
    <t>water</t>
  </si>
  <si>
    <t>modal split passengers (without air)</t>
  </si>
  <si>
    <t>cars</t>
  </si>
  <si>
    <t>modal split goods</t>
  </si>
  <si>
    <t>Energy consumption</t>
  </si>
  <si>
    <t xml:space="preserve">   Passengers</t>
  </si>
  <si>
    <t xml:space="preserve">       of which rail</t>
  </si>
  <si>
    <t xml:space="preserve">    Goods</t>
  </si>
  <si>
    <t>2000-2007</t>
  </si>
  <si>
    <t>Share of PT in passenger traffic</t>
  </si>
  <si>
    <t xml:space="preserve">share of rail, water in goods traffic </t>
  </si>
  <si>
    <t>Unit  consumption</t>
  </si>
  <si>
    <t>all passenger modes</t>
  </si>
  <si>
    <t>goe/pkm</t>
  </si>
  <si>
    <t>motorcycles</t>
  </si>
  <si>
    <t xml:space="preserve">   bus</t>
  </si>
  <si>
    <t xml:space="preserve">   rail, tram métro</t>
  </si>
  <si>
    <t>private modes</t>
  </si>
  <si>
    <t>public transport</t>
  </si>
  <si>
    <t>all goods modes</t>
  </si>
  <si>
    <t>goe/tkm</t>
  </si>
  <si>
    <t>rail + water</t>
  </si>
  <si>
    <t xml:space="preserve">   rail</t>
  </si>
  <si>
    <t xml:space="preserve">   water</t>
  </si>
  <si>
    <t>Overall energy savingsfor passenger by modes (incl modal shift)</t>
  </si>
  <si>
    <t xml:space="preserve">   Savings from cars</t>
  </si>
  <si>
    <t>Mtoe/year</t>
  </si>
  <si>
    <t xml:space="preserve">   Savings from bus</t>
  </si>
  <si>
    <t xml:space="preserve">   Savings from rail incl metro, tram</t>
  </si>
  <si>
    <t xml:space="preserve"> Sum savings by mode</t>
  </si>
  <si>
    <t>Overall energy savings for goods by modes (incl modal shift)</t>
  </si>
  <si>
    <t>Period 1990-2008</t>
  </si>
  <si>
    <t xml:space="preserve">   Savings road</t>
  </si>
  <si>
    <t xml:space="preserve">   Savings from rail</t>
  </si>
  <si>
    <t xml:space="preserve">   Savings from water</t>
  </si>
  <si>
    <t>Passenger</t>
  </si>
  <si>
    <t>Variation of consumption</t>
  </si>
  <si>
    <t>activity effects</t>
  </si>
  <si>
    <t>overall savings</t>
  </si>
  <si>
    <t xml:space="preserve">     modal shift</t>
  </si>
  <si>
    <t xml:space="preserve">      savings (without modal split)</t>
  </si>
  <si>
    <t>Goods</t>
  </si>
  <si>
    <t>Passenger +goods</t>
  </si>
  <si>
    <t>Data for graph 6 : CO2 emissions</t>
  </si>
  <si>
    <t>MtCO2</t>
  </si>
  <si>
    <t>share</t>
  </si>
  <si>
    <t>Total transport</t>
  </si>
  <si>
    <t xml:space="preserve">EEA inventories </t>
  </si>
  <si>
    <t xml:space="preserve">   Cars</t>
  </si>
  <si>
    <t>odyssee (coherent with road emission from EEA)</t>
  </si>
  <si>
    <t xml:space="preserve">   Trucks &amp; light vehicles</t>
  </si>
  <si>
    <t xml:space="preserve">    Bus</t>
  </si>
  <si>
    <t xml:space="preserve">    Two wheels</t>
  </si>
  <si>
    <t xml:space="preserve">   Air (domestic)</t>
  </si>
  <si>
    <t xml:space="preserve">   Rail</t>
  </si>
  <si>
    <t xml:space="preserve">   Navigation</t>
  </si>
  <si>
    <t xml:space="preserve">   Other transportation</t>
  </si>
  <si>
    <t>Data for graph 7: Explanatory factors of the CO2 variations in transport (EU-27)</t>
  </si>
  <si>
    <t>Data on Traffic (EU27)</t>
  </si>
  <si>
    <t>Source</t>
  </si>
  <si>
    <t>Total passenger traffic</t>
  </si>
  <si>
    <t>Eurostat statistical pocketbok</t>
  </si>
  <si>
    <t xml:space="preserve">  of which :</t>
  </si>
  <si>
    <t xml:space="preserve">     - car</t>
  </si>
  <si>
    <t xml:space="preserve">     - bus</t>
  </si>
  <si>
    <t xml:space="preserve">     - rail</t>
  </si>
  <si>
    <t xml:space="preserve">     - tram+metro</t>
  </si>
  <si>
    <t xml:space="preserve">     - domestic air</t>
  </si>
  <si>
    <t>Total goods traffic</t>
  </si>
  <si>
    <t xml:space="preserve">   - road</t>
  </si>
  <si>
    <t xml:space="preserve">   - rail</t>
  </si>
  <si>
    <t xml:space="preserve">  - waterways</t>
  </si>
  <si>
    <t>Traffic by modes</t>
  </si>
  <si>
    <t>Unit</t>
  </si>
  <si>
    <t>Car traffic</t>
  </si>
  <si>
    <t>Road goods traffic</t>
  </si>
  <si>
    <t>Buses</t>
  </si>
  <si>
    <t>Motorcycles</t>
  </si>
  <si>
    <t xml:space="preserve">Domestic air traffic </t>
  </si>
  <si>
    <t>Rail raffic</t>
  </si>
  <si>
    <t>Gtkbr</t>
  </si>
  <si>
    <t xml:space="preserve">   Rail goods traffic</t>
  </si>
  <si>
    <t xml:space="preserve">   Rail passenger traffic in passenger-km (train, tram and metro)</t>
  </si>
  <si>
    <t>Inland waterways goods traffic</t>
  </si>
  <si>
    <t>Total CO2 emissions of transport : (of which)</t>
  </si>
  <si>
    <t>Mt CO2</t>
  </si>
  <si>
    <t>odyssee (revised May 2010 to match road emission from EEA)</t>
  </si>
  <si>
    <t>Domestic air transport</t>
  </si>
  <si>
    <t>Navigation</t>
  </si>
  <si>
    <t>Others</t>
  </si>
  <si>
    <t>Specific emission per unit of traffic</t>
  </si>
  <si>
    <t>gCO2/pkm</t>
  </si>
  <si>
    <t>gCO2/tkm</t>
  </si>
  <si>
    <t>Domestic air traffic</t>
  </si>
  <si>
    <t>gCO2/tkbr</t>
  </si>
  <si>
    <t>CO2 savings</t>
  </si>
  <si>
    <t>Consommation finale énergétique - transport</t>
  </si>
  <si>
    <t>geo/time</t>
  </si>
  <si>
    <t>1990A00</t>
  </si>
  <si>
    <t>1991A00</t>
  </si>
  <si>
    <t>1992A00</t>
  </si>
  <si>
    <t>1993A00</t>
  </si>
  <si>
    <t>1994A00</t>
  </si>
  <si>
    <t>1995A00</t>
  </si>
  <si>
    <t>1996A00</t>
  </si>
  <si>
    <t>1997A00</t>
  </si>
  <si>
    <t>1998A00</t>
  </si>
  <si>
    <t>1999A00</t>
  </si>
  <si>
    <t>2000A00</t>
  </si>
  <si>
    <t>2001A00</t>
  </si>
  <si>
    <t>2002A00</t>
  </si>
  <si>
    <t>2003A00</t>
  </si>
  <si>
    <t>2004A00</t>
  </si>
  <si>
    <t>2005A00</t>
  </si>
  <si>
    <t>2006A00</t>
  </si>
  <si>
    <t>2007A00</t>
  </si>
  <si>
    <t>2008A01</t>
  </si>
  <si>
    <t>% change consumption</t>
  </si>
  <si>
    <t>European Union (27 countries)</t>
  </si>
  <si>
    <t>European Union (15 countries)</t>
  </si>
  <si>
    <t>EU-12</t>
  </si>
  <si>
    <t>Belgium</t>
  </si>
  <si>
    <t>Bulgaria</t>
  </si>
  <si>
    <t>Czech Republic</t>
  </si>
  <si>
    <t>Denmark</t>
  </si>
  <si>
    <t>Germany (including ex-GDR from 1991)</t>
  </si>
  <si>
    <t>Estonia</t>
  </si>
  <si>
    <t>Ireland</t>
  </si>
  <si>
    <t>Greece</t>
  </si>
  <si>
    <t>Spain</t>
  </si>
  <si>
    <t>France</t>
  </si>
  <si>
    <t>Italy</t>
  </si>
  <si>
    <t>Cyprus</t>
  </si>
  <si>
    <t>Latvia</t>
  </si>
  <si>
    <t>Lithuania</t>
  </si>
  <si>
    <t>Luxembourg (Grand-Duché)</t>
  </si>
  <si>
    <t>Hungary</t>
  </si>
  <si>
    <t>Malta</t>
  </si>
  <si>
    <t>Netherlands</t>
  </si>
  <si>
    <t>Austria</t>
  </si>
  <si>
    <t>Poland</t>
  </si>
  <si>
    <t>Portugal</t>
  </si>
  <si>
    <t>Romania</t>
  </si>
  <si>
    <t>Slovenia</t>
  </si>
  <si>
    <t>Slovakia</t>
  </si>
  <si>
    <t>Finland</t>
  </si>
  <si>
    <t>Sweden</t>
  </si>
  <si>
    <t>United Kingdom</t>
  </si>
  <si>
    <t>Croatia</t>
  </si>
  <si>
    <t>Turkey</t>
  </si>
  <si>
    <t>Iceland</t>
  </si>
  <si>
    <t>Norway</t>
  </si>
  <si>
    <t>Switzerland</t>
  </si>
  <si>
    <t xml:space="preserve"> EEA - islande</t>
  </si>
  <si>
    <t>demo_pjan-Population au 1er janvier par âge et sexe</t>
  </si>
  <si>
    <t>Last update</t>
  </si>
  <si>
    <t>10-06-2010</t>
  </si>
  <si>
    <t>Extracted on</t>
  </si>
  <si>
    <t>06-07-2010 08:26:15</t>
  </si>
  <si>
    <t>Source of data</t>
  </si>
  <si>
    <t>2008A00</t>
  </si>
  <si>
    <t>Per capita consumption</t>
  </si>
  <si>
    <t>Consumption per capita (%, 1990-2008)</t>
  </si>
  <si>
    <t>1990-1999</t>
  </si>
  <si>
    <t>1999-2008</t>
  </si>
  <si>
    <t>1990-2008</t>
  </si>
  <si>
    <t>2008-2007</t>
  </si>
  <si>
    <t>ratio</t>
  </si>
  <si>
    <t>EU15</t>
  </si>
  <si>
    <t>EU12</t>
  </si>
  <si>
    <t>Gross domestic product at market prices (GDP)</t>
  </si>
  <si>
    <t>nama_gdp_k-GDP and main components - volumes</t>
  </si>
  <si>
    <t>26-06-2010</t>
  </si>
  <si>
    <t>28-06-2010 12:08:05</t>
  </si>
  <si>
    <t>http://appsso.eurostat.ec.europa.eu/nui/show.do</t>
  </si>
  <si>
    <t>INDIC_NA</t>
  </si>
  <si>
    <t>INDICATORS</t>
  </si>
  <si>
    <t>OBS_FLAG</t>
  </si>
  <si>
    <t>UNIT</t>
  </si>
  <si>
    <t>"Millions of euro, chain-linked volumes, reference year 2000 (at 2000 exchange rates)"</t>
  </si>
  <si>
    <t>GEO/TIME</t>
  </si>
  <si>
    <t>1990</t>
  </si>
  <si>
    <t>1991</t>
  </si>
  <si>
    <t>1992</t>
  </si>
  <si>
    <t>1993</t>
  </si>
  <si>
    <t>1994</t>
  </si>
  <si>
    <t>1995</t>
  </si>
  <si>
    <t>1996</t>
  </si>
  <si>
    <t>1997</t>
  </si>
  <si>
    <t>1998</t>
  </si>
  <si>
    <t>1999</t>
  </si>
  <si>
    <t>2000</t>
  </si>
  <si>
    <t>2001</t>
  </si>
  <si>
    <t>2002</t>
  </si>
  <si>
    <t>2003</t>
  </si>
  <si>
    <t>2004</t>
  </si>
  <si>
    <t>2005</t>
  </si>
  <si>
    <t>2006</t>
  </si>
  <si>
    <t>2007</t>
  </si>
  <si>
    <t>2008</t>
  </si>
  <si>
    <t>Estimate of GDP in Euro at 2000 market prices (Mrd)</t>
  </si>
  <si>
    <t>DG EC FIN</t>
  </si>
  <si>
    <t>DATA sent by EEA</t>
  </si>
  <si>
    <t>GDP EU27</t>
  </si>
  <si>
    <t>CO2 emissions for transport (EEA inventories)</t>
  </si>
  <si>
    <t>EU27</t>
  </si>
  <si>
    <t>Unit Gg</t>
  </si>
  <si>
    <t>GREENHOUSE GAS SOURCE AND SINK CATEGORIES</t>
  </si>
  <si>
    <t>Countries</t>
  </si>
  <si>
    <t>2007-2008</t>
  </si>
  <si>
    <t>TOTAL ENERGY</t>
  </si>
  <si>
    <t>(Gg)</t>
  </si>
  <si>
    <t>A. Fuel Combustion Activities (Sectoral Approach)</t>
  </si>
  <si>
    <t>1. Energy Industries</t>
  </si>
  <si>
    <t>2. Manufacturing Industries and Construction</t>
  </si>
  <si>
    <t>4. Other Sectors</t>
  </si>
  <si>
    <t>5. Other</t>
  </si>
  <si>
    <t>3. Transport</t>
  </si>
  <si>
    <t>3.1  Civil Aviation</t>
  </si>
  <si>
    <t>3.2  Road Transportation</t>
  </si>
  <si>
    <t>3.3 Railways</t>
  </si>
  <si>
    <t>3.4  Navigation</t>
  </si>
  <si>
    <t>3.5  Other Transportation</t>
  </si>
  <si>
    <t>Share of transport in total CO2 emissions</t>
  </si>
  <si>
    <t>Share of transport in CO2 emissions from final consumers (excl energy industries)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</si>
</sst>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
    <numFmt numFmtId="167" formatCode="0.0000"/>
  </numFmts>
  <fonts count="55" x14ac:knownFonts="1">
    <font>
      <sz val="11"/>
      <color theme="1"/>
      <name val="Calibri"/>
      <family val="2"/>
      <scheme val="minor"/>
    </font>
    <font>
      <sz val="11"/>
      <color theme="1"/>
      <name val="Calibri"/>
      <family val="2"/>
      <scheme val="minor"/>
    </font>
    <font>
      <b/>
      <sz val="14"/>
      <color indexed="8"/>
      <name val="Calibri"/>
      <family val="2"/>
    </font>
    <font>
      <b/>
      <sz val="22"/>
      <color indexed="8"/>
      <name val="Calibri"/>
      <family val="2"/>
    </font>
    <font>
      <b/>
      <sz val="11"/>
      <color indexed="8"/>
      <name val="Calibri"/>
      <family val="2"/>
    </font>
    <font>
      <u/>
      <sz val="11"/>
      <color indexed="62"/>
      <name val="Calibri"/>
      <family val="2"/>
    </font>
    <font>
      <u/>
      <sz val="11"/>
      <color theme="10"/>
      <name val="Calibri"/>
      <family val="2"/>
    </font>
    <font>
      <u/>
      <sz val="11"/>
      <color indexed="56"/>
      <name val="Calibri"/>
      <family val="2"/>
    </font>
    <font>
      <sz val="11"/>
      <color indexed="8"/>
      <name val="Calibri"/>
      <family val="2"/>
    </font>
    <font>
      <b/>
      <sz val="11"/>
      <color indexed="10"/>
      <name val="Calibri"/>
      <family val="2"/>
    </font>
    <font>
      <sz val="12"/>
      <color indexed="8"/>
      <name val="Calibri"/>
      <family val="2"/>
    </font>
    <font>
      <sz val="14"/>
      <color indexed="8"/>
      <name val="Calibri"/>
      <family val="2"/>
    </font>
    <font>
      <vertAlign val="subscrip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sz val="11"/>
      <color indexed="8"/>
      <name val="Calibri"/>
      <family val="2"/>
    </font>
    <font>
      <vertAlign val="subscript"/>
      <sz val="12"/>
      <color indexed="8"/>
      <name val="Calibri"/>
      <family val="2"/>
    </font>
    <font>
      <sz val="11"/>
      <color indexed="8"/>
      <name val="Arial"/>
      <family val="2"/>
    </font>
    <font>
      <sz val="7"/>
      <color indexed="8"/>
      <name val="Calibri"/>
      <family val="2"/>
    </font>
    <font>
      <b/>
      <sz val="8"/>
      <color indexed="8"/>
      <name val="Calibri"/>
      <family val="2"/>
    </font>
    <font>
      <sz val="8"/>
      <color indexed="8"/>
      <name val="Calibri"/>
      <family val="2"/>
    </font>
    <font>
      <b/>
      <sz val="8"/>
      <name val="Arial"/>
      <family val="2"/>
    </font>
    <font>
      <sz val="8"/>
      <name val="Arial"/>
      <family val="2"/>
    </font>
    <font>
      <i/>
      <sz val="8"/>
      <color indexed="8"/>
      <name val="Calibri"/>
      <family val="2"/>
    </font>
    <font>
      <b/>
      <i/>
      <sz val="8"/>
      <color indexed="8"/>
      <name val="Calibri"/>
      <family val="2"/>
    </font>
    <font>
      <sz val="9"/>
      <name val="Arial"/>
      <family val="2"/>
    </font>
    <font>
      <b/>
      <sz val="8"/>
      <name val="Times New Roman"/>
      <family val="1"/>
    </font>
    <font>
      <i/>
      <sz val="8"/>
      <name val="Arial"/>
      <family val="2"/>
    </font>
    <font>
      <sz val="8"/>
      <color indexed="8"/>
      <name val="Arial"/>
      <family val="2"/>
    </font>
    <font>
      <b/>
      <i/>
      <sz val="8"/>
      <name val="Arial"/>
      <family val="2"/>
    </font>
    <font>
      <sz val="8"/>
      <color indexed="21"/>
      <name val="Arial"/>
      <family val="2"/>
    </font>
    <font>
      <b/>
      <sz val="8"/>
      <color indexed="8"/>
      <name val="Arial"/>
      <family val="2"/>
    </font>
    <font>
      <sz val="8"/>
      <color indexed="10"/>
      <name val="Arial"/>
      <family val="2"/>
    </font>
    <font>
      <b/>
      <sz val="9"/>
      <name val="Arial"/>
      <family val="2"/>
    </font>
    <font>
      <sz val="6"/>
      <name val="Arial"/>
      <family val="2"/>
    </font>
    <font>
      <b/>
      <sz val="9"/>
      <color indexed="8"/>
      <name val="Calibri"/>
      <family val="2"/>
    </font>
    <font>
      <sz val="9"/>
      <color indexed="8"/>
      <name val="Calibri"/>
      <family val="2"/>
    </font>
    <font>
      <i/>
      <sz val="9"/>
      <color indexed="8"/>
      <name val="Calibri"/>
      <family val="2"/>
    </font>
    <font>
      <sz val="9"/>
      <color indexed="8"/>
      <name val="Arial"/>
      <family val="2"/>
    </font>
    <font>
      <b/>
      <sz val="8"/>
      <color indexed="81"/>
      <name val="Tahoma"/>
      <family val="2"/>
    </font>
    <font>
      <sz val="8"/>
      <color indexed="81"/>
      <name val="Tahoma"/>
      <family val="2"/>
    </font>
    <font>
      <sz val="10"/>
      <color indexed="62"/>
      <name val="Arial"/>
      <family val="2"/>
    </font>
    <font>
      <sz val="10"/>
      <name val="Arial"/>
      <family val="2"/>
    </font>
    <font>
      <b/>
      <sz val="14"/>
      <color indexed="12"/>
      <name val="Arial"/>
      <family val="2"/>
    </font>
    <font>
      <sz val="11"/>
      <color indexed="10"/>
      <name val="Calibri"/>
      <family val="2"/>
    </font>
    <font>
      <sz val="14"/>
      <color indexed="10"/>
      <name val="Calibri"/>
      <family val="2"/>
    </font>
    <font>
      <b/>
      <sz val="9"/>
      <color indexed="12"/>
      <name val="Arial"/>
      <family val="2"/>
    </font>
    <font>
      <sz val="11"/>
      <color indexed="62"/>
      <name val="Calibri"/>
      <family val="2"/>
    </font>
    <font>
      <b/>
      <sz val="12"/>
      <color indexed="12"/>
      <name val="Cambria"/>
      <family val="1"/>
    </font>
    <font>
      <sz val="11"/>
      <name val="Cambria"/>
      <family val="1"/>
    </font>
    <font>
      <b/>
      <sz val="10"/>
      <name val="Arial"/>
      <family val="2"/>
    </font>
    <font>
      <b/>
      <sz val="9"/>
      <name val="Times New Roman"/>
      <family val="1"/>
    </font>
    <font>
      <sz val="8"/>
      <name val="Times New Roman"/>
      <family val="1"/>
    </font>
    <font>
      <sz val="9"/>
      <name val="Times New Roman"/>
      <family val="1"/>
    </font>
  </fonts>
  <fills count="1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6" fillId="0" borderId="0"/>
    <xf numFmtId="49" fontId="52" fillId="0" borderId="5" applyNumberFormat="0" applyFill="0" applyBorder="0" applyProtection="0">
      <alignment horizontal="left" vertical="center"/>
    </xf>
    <xf numFmtId="49" fontId="54" fillId="0" borderId="5" applyNumberFormat="0" applyFont="0" applyFill="0" applyBorder="0" applyProtection="0">
      <alignment horizontal="left" vertical="center" indent="2"/>
    </xf>
  </cellStyleXfs>
  <cellXfs count="251">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0" fillId="2" borderId="0" xfId="0" applyFill="1" applyBorder="1"/>
    <xf numFmtId="0" fontId="6" fillId="2" borderId="0" xfId="2" applyFill="1" applyAlignment="1" applyProtection="1"/>
    <xf numFmtId="0" fontId="8" fillId="2" borderId="0" xfId="2" applyFont="1" applyFill="1" applyAlignment="1" applyProtection="1"/>
    <xf numFmtId="0" fontId="9" fillId="2" borderId="0" xfId="0" applyFont="1" applyFill="1"/>
    <xf numFmtId="0" fontId="0" fillId="2" borderId="0" xfId="0" applyFont="1" applyFill="1" applyAlignment="1">
      <alignment horizontal="left" indent="8"/>
    </xf>
    <xf numFmtId="0" fontId="0" fillId="2" borderId="0" xfId="0" applyFont="1" applyFill="1"/>
    <xf numFmtId="0" fontId="0" fillId="2" borderId="0" xfId="0" applyFont="1" applyFill="1" applyAlignment="1">
      <alignment horizontal="left" indent="10"/>
    </xf>
    <xf numFmtId="0" fontId="0" fillId="2" borderId="0" xfId="0" quotePrefix="1" applyFill="1"/>
    <xf numFmtId="0" fontId="10" fillId="0" borderId="0" xfId="0" applyFont="1"/>
    <xf numFmtId="0" fontId="11" fillId="2" borderId="0" xfId="0" applyFont="1" applyFill="1"/>
    <xf numFmtId="0" fontId="14" fillId="2" borderId="0" xfId="0" applyFont="1" applyFill="1"/>
    <xf numFmtId="0" fontId="15" fillId="2" borderId="0" xfId="0" applyFont="1" applyFill="1"/>
    <xf numFmtId="0" fontId="0" fillId="0" borderId="0" xfId="0" applyFont="1"/>
    <xf numFmtId="0" fontId="16" fillId="2" borderId="0" xfId="0" applyFont="1" applyFill="1"/>
    <xf numFmtId="0" fontId="0" fillId="2" borderId="0" xfId="0" applyNumberFormat="1" applyFill="1"/>
    <xf numFmtId="0" fontId="8" fillId="0" borderId="0" xfId="0" applyFont="1"/>
    <xf numFmtId="0" fontId="10" fillId="2" borderId="0" xfId="0" applyFont="1" applyFill="1"/>
    <xf numFmtId="0" fontId="18" fillId="2" borderId="0" xfId="0" applyFont="1" applyFill="1" applyAlignment="1">
      <alignment horizontal="justify"/>
    </xf>
    <xf numFmtId="0" fontId="0" fillId="2" borderId="0" xfId="0" applyFont="1" applyFill="1" applyAlignment="1">
      <alignment horizontal="left" indent="4"/>
    </xf>
    <xf numFmtId="0" fontId="0" fillId="2" borderId="0" xfId="0" quotePrefix="1" applyFont="1" applyFill="1" applyAlignment="1">
      <alignment horizontal="left" indent="4"/>
    </xf>
    <xf numFmtId="0" fontId="0" fillId="2" borderId="0" xfId="0" quotePrefix="1" applyFill="1" applyAlignment="1">
      <alignment horizontal="left" indent="4"/>
    </xf>
    <xf numFmtId="0" fontId="0" fillId="2" borderId="0" xfId="0" applyNumberFormat="1" applyFont="1" applyFill="1"/>
    <xf numFmtId="0" fontId="0" fillId="0" borderId="0" xfId="0" applyFont="1" applyAlignment="1"/>
    <xf numFmtId="0" fontId="20" fillId="3" borderId="0" xfId="0" applyFont="1" applyFill="1"/>
    <xf numFmtId="0" fontId="21" fillId="3" borderId="0" xfId="0" applyFont="1" applyFill="1"/>
    <xf numFmtId="0" fontId="21" fillId="0" borderId="0" xfId="0" applyFont="1" applyFill="1"/>
    <xf numFmtId="0" fontId="21" fillId="0" borderId="0" xfId="0" applyFont="1"/>
    <xf numFmtId="1" fontId="21" fillId="0" borderId="0" xfId="0" applyNumberFormat="1" applyFont="1"/>
    <xf numFmtId="1" fontId="21" fillId="3" borderId="0" xfId="0" applyNumberFormat="1" applyFont="1" applyFill="1"/>
    <xf numFmtId="164" fontId="21" fillId="3" borderId="0" xfId="1" applyNumberFormat="1" applyFont="1" applyFill="1"/>
    <xf numFmtId="0" fontId="22" fillId="0" borderId="0" xfId="0" applyFont="1"/>
    <xf numFmtId="0" fontId="20" fillId="4" borderId="0" xfId="0" applyFont="1" applyFill="1"/>
    <xf numFmtId="0" fontId="21" fillId="4" borderId="0" xfId="0" applyFont="1" applyFill="1"/>
    <xf numFmtId="0" fontId="21" fillId="0" borderId="1" xfId="0" applyFont="1" applyFill="1" applyBorder="1" applyAlignment="1">
      <alignment wrapText="1"/>
    </xf>
    <xf numFmtId="0" fontId="21" fillId="0" borderId="2" xfId="0" applyFont="1" applyFill="1" applyBorder="1" applyAlignment="1">
      <alignment horizontal="center"/>
    </xf>
    <xf numFmtId="0" fontId="21" fillId="0" borderId="3" xfId="0" applyFont="1" applyFill="1" applyBorder="1" applyAlignment="1">
      <alignment horizontal="center"/>
    </xf>
    <xf numFmtId="0" fontId="20" fillId="0" borderId="0" xfId="0" applyFont="1" applyFill="1"/>
    <xf numFmtId="0" fontId="21" fillId="0" borderId="4" xfId="0" applyFont="1" applyFill="1" applyBorder="1" applyAlignment="1">
      <alignment wrapText="1"/>
    </xf>
    <xf numFmtId="0" fontId="21" fillId="0" borderId="5" xfId="0" applyFont="1" applyFill="1" applyBorder="1"/>
    <xf numFmtId="0" fontId="23" fillId="0" borderId="0" xfId="0" applyFont="1" applyFill="1"/>
    <xf numFmtId="9" fontId="21" fillId="0" borderId="0" xfId="1" applyNumberFormat="1" applyFont="1"/>
    <xf numFmtId="164" fontId="21" fillId="0" borderId="5" xfId="1" applyNumberFormat="1" applyFont="1" applyBorder="1"/>
    <xf numFmtId="164" fontId="21" fillId="0" borderId="5" xfId="1" applyNumberFormat="1" applyFont="1" applyFill="1" applyBorder="1"/>
    <xf numFmtId="0" fontId="20" fillId="0" borderId="0" xfId="0" applyFont="1"/>
    <xf numFmtId="1" fontId="20" fillId="0" borderId="0" xfId="0" applyNumberFormat="1" applyFont="1"/>
    <xf numFmtId="165" fontId="20" fillId="0" borderId="0" xfId="0" applyNumberFormat="1" applyFont="1"/>
    <xf numFmtId="164" fontId="21" fillId="0" borderId="0" xfId="1" applyNumberFormat="1" applyFont="1"/>
    <xf numFmtId="164" fontId="21" fillId="3" borderId="5" xfId="1" applyNumberFormat="1" applyFont="1" applyFill="1" applyBorder="1"/>
    <xf numFmtId="10" fontId="21" fillId="0" borderId="0" xfId="0" applyNumberFormat="1" applyFont="1"/>
    <xf numFmtId="0" fontId="24" fillId="0" borderId="0" xfId="0" applyFont="1"/>
    <xf numFmtId="0" fontId="25" fillId="0" borderId="0" xfId="0" applyFont="1"/>
    <xf numFmtId="9" fontId="24" fillId="0" borderId="0" xfId="1" applyFont="1" applyFill="1"/>
    <xf numFmtId="9" fontId="24" fillId="3" borderId="0" xfId="1" applyFont="1" applyFill="1"/>
    <xf numFmtId="1" fontId="24" fillId="0" borderId="0" xfId="0" applyNumberFormat="1" applyFont="1"/>
    <xf numFmtId="10" fontId="24" fillId="0" borderId="0" xfId="0" applyNumberFormat="1" applyFont="1"/>
    <xf numFmtId="10" fontId="24" fillId="0" borderId="0" xfId="1" applyNumberFormat="1" applyFont="1"/>
    <xf numFmtId="9" fontId="21" fillId="3" borderId="0" xfId="1" applyFont="1" applyFill="1"/>
    <xf numFmtId="9" fontId="21" fillId="0" borderId="0" xfId="1" applyFont="1"/>
    <xf numFmtId="10" fontId="21" fillId="0" borderId="0" xfId="1" applyNumberFormat="1" applyFont="1"/>
    <xf numFmtId="0" fontId="20" fillId="5" borderId="0" xfId="0" applyFont="1" applyFill="1"/>
    <xf numFmtId="0" fontId="21" fillId="5" borderId="0" xfId="0" applyFont="1" applyFill="1"/>
    <xf numFmtId="0" fontId="21" fillId="0" borderId="0" xfId="0" applyFont="1" applyFill="1" applyBorder="1"/>
    <xf numFmtId="0" fontId="23" fillId="0" borderId="0" xfId="3" applyFont="1" applyFill="1" applyBorder="1"/>
    <xf numFmtId="0" fontId="22" fillId="0" borderId="0" xfId="3" applyFont="1" applyFill="1" applyBorder="1"/>
    <xf numFmtId="1" fontId="22" fillId="0" borderId="0" xfId="3" applyNumberFormat="1" applyFont="1" applyFill="1" applyBorder="1" applyAlignment="1">
      <alignment horizontal="center"/>
    </xf>
    <xf numFmtId="1" fontId="22" fillId="0" borderId="0" xfId="3" applyNumberFormat="1" applyFont="1" applyFill="1" applyBorder="1"/>
    <xf numFmtId="1" fontId="27" fillId="0" borderId="0" xfId="3" applyNumberFormat="1" applyFont="1" applyFill="1" applyBorder="1"/>
    <xf numFmtId="0" fontId="23" fillId="0" borderId="0" xfId="3" applyFont="1" applyFill="1" applyBorder="1" applyAlignment="1">
      <alignment horizontal="left"/>
    </xf>
    <xf numFmtId="0" fontId="23" fillId="0" borderId="0" xfId="3" applyFont="1" applyFill="1" applyBorder="1" applyAlignment="1">
      <alignment horizontal="center"/>
    </xf>
    <xf numFmtId="1" fontId="23" fillId="0" borderId="0" xfId="3" applyNumberFormat="1" applyFont="1" applyFill="1" applyBorder="1"/>
    <xf numFmtId="164" fontId="23" fillId="0" borderId="0" xfId="1" applyNumberFormat="1" applyFont="1" applyFill="1" applyBorder="1"/>
    <xf numFmtId="0" fontId="28" fillId="0" borderId="0" xfId="3" applyFont="1" applyFill="1" applyBorder="1" applyAlignment="1">
      <alignment horizontal="left"/>
    </xf>
    <xf numFmtId="0" fontId="28" fillId="0" borderId="0" xfId="3" applyFont="1" applyFill="1" applyBorder="1" applyAlignment="1">
      <alignment horizontal="center"/>
    </xf>
    <xf numFmtId="1" fontId="28" fillId="0" borderId="0" xfId="3" applyNumberFormat="1" applyFont="1" applyFill="1" applyBorder="1"/>
    <xf numFmtId="0" fontId="28" fillId="0" borderId="0" xfId="3" applyFont="1" applyFill="1" applyBorder="1"/>
    <xf numFmtId="164" fontId="28" fillId="0" borderId="0" xfId="1" applyNumberFormat="1" applyFont="1" applyFill="1" applyBorder="1"/>
    <xf numFmtId="1" fontId="29" fillId="0" borderId="0" xfId="3" applyNumberFormat="1" applyFont="1" applyFill="1" applyBorder="1"/>
    <xf numFmtId="0" fontId="22" fillId="0" borderId="0" xfId="3" applyFont="1" applyFill="1" applyBorder="1" applyAlignment="1">
      <alignment horizontal="left"/>
    </xf>
    <xf numFmtId="0" fontId="22" fillId="0" borderId="0" xfId="3" applyFont="1" applyFill="1" applyBorder="1" applyAlignment="1">
      <alignment horizontal="center"/>
    </xf>
    <xf numFmtId="1" fontId="30" fillId="0" borderId="0" xfId="3" applyNumberFormat="1" applyFont="1" applyFill="1" applyBorder="1"/>
    <xf numFmtId="0" fontId="20" fillId="0" borderId="0" xfId="0" applyFont="1" applyFill="1" applyBorder="1"/>
    <xf numFmtId="1" fontId="23" fillId="0" borderId="0" xfId="3" applyNumberFormat="1" applyFont="1" applyFill="1" applyBorder="1" applyAlignment="1">
      <alignment horizontal="center"/>
    </xf>
    <xf numFmtId="165" fontId="23" fillId="0" borderId="0" xfId="3" applyNumberFormat="1" applyFont="1" applyFill="1" applyBorder="1" applyAlignment="1">
      <alignment horizontal="center"/>
    </xf>
    <xf numFmtId="165" fontId="23" fillId="0" borderId="0" xfId="3" applyNumberFormat="1" applyFont="1" applyFill="1" applyBorder="1"/>
    <xf numFmtId="2" fontId="23" fillId="0" borderId="0" xfId="3" applyNumberFormat="1" applyFont="1" applyFill="1" applyBorder="1" applyAlignment="1">
      <alignment horizontal="right"/>
    </xf>
    <xf numFmtId="2" fontId="23" fillId="0" borderId="0" xfId="3" applyNumberFormat="1" applyFont="1" applyFill="1" applyBorder="1"/>
    <xf numFmtId="1" fontId="23" fillId="0" borderId="0" xfId="3" applyNumberFormat="1" applyFont="1" applyFill="1" applyBorder="1" applyAlignment="1">
      <alignment horizontal="right"/>
    </xf>
    <xf numFmtId="1" fontId="28" fillId="0" borderId="0" xfId="3" applyNumberFormat="1" applyFont="1" applyFill="1" applyBorder="1" applyAlignment="1">
      <alignment horizontal="right"/>
    </xf>
    <xf numFmtId="0" fontId="24" fillId="0" borderId="0" xfId="0" applyFont="1" applyFill="1" applyBorder="1"/>
    <xf numFmtId="1" fontId="29" fillId="0" borderId="0" xfId="3" applyNumberFormat="1" applyFont="1" applyFill="1" applyBorder="1" applyAlignment="1">
      <alignment horizontal="right"/>
    </xf>
    <xf numFmtId="0" fontId="23" fillId="0" borderId="0" xfId="3" applyFont="1" applyFill="1"/>
    <xf numFmtId="0" fontId="23" fillId="0" borderId="0" xfId="3" applyFont="1"/>
    <xf numFmtId="0" fontId="31" fillId="0" borderId="0" xfId="3" applyFont="1" applyFill="1"/>
    <xf numFmtId="0" fontId="22" fillId="0" borderId="0" xfId="0" applyFont="1" applyFill="1"/>
    <xf numFmtId="2" fontId="21" fillId="0" borderId="0" xfId="0" applyNumberFormat="1" applyFont="1" applyFill="1"/>
    <xf numFmtId="0" fontId="29" fillId="0" borderId="0" xfId="0" applyFont="1" applyFill="1"/>
    <xf numFmtId="1" fontId="29" fillId="0" borderId="0" xfId="0" applyNumberFormat="1" applyFont="1" applyFill="1"/>
    <xf numFmtId="0" fontId="29" fillId="0" borderId="0" xfId="3" applyFont="1" applyFill="1"/>
    <xf numFmtId="1" fontId="23" fillId="0" borderId="0" xfId="0" applyNumberFormat="1" applyFont="1" applyFill="1"/>
    <xf numFmtId="1" fontId="21" fillId="0" borderId="0" xfId="0" applyNumberFormat="1" applyFont="1" applyFill="1"/>
    <xf numFmtId="1" fontId="22" fillId="0" borderId="0" xfId="0" applyNumberFormat="1" applyFont="1" applyFill="1"/>
    <xf numFmtId="164" fontId="22" fillId="3" borderId="0" xfId="1" applyNumberFormat="1" applyFont="1" applyFill="1"/>
    <xf numFmtId="9" fontId="22" fillId="3" borderId="0" xfId="1" applyFont="1" applyFill="1"/>
    <xf numFmtId="9" fontId="22" fillId="0" borderId="0" xfId="1" applyFont="1" applyFill="1"/>
    <xf numFmtId="164" fontId="22" fillId="0" borderId="0" xfId="1" applyNumberFormat="1" applyFont="1" applyFill="1"/>
    <xf numFmtId="164" fontId="21" fillId="0" borderId="0" xfId="1" applyNumberFormat="1" applyFont="1" applyFill="1"/>
    <xf numFmtId="1" fontId="22" fillId="0" borderId="0" xfId="0" applyNumberFormat="1" applyFont="1" applyFill="1" applyBorder="1"/>
    <xf numFmtId="0" fontId="21" fillId="0" borderId="0" xfId="0" applyFont="1" applyBorder="1"/>
    <xf numFmtId="0" fontId="23" fillId="0" borderId="0" xfId="3" applyFont="1" applyFill="1" applyAlignment="1">
      <alignment horizontal="center"/>
    </xf>
    <xf numFmtId="0" fontId="22" fillId="0" borderId="0" xfId="3" applyFont="1" applyFill="1"/>
    <xf numFmtId="164" fontId="23" fillId="0" borderId="0" xfId="1" applyNumberFormat="1" applyFont="1" applyFill="1"/>
    <xf numFmtId="9" fontId="23" fillId="0" borderId="0" xfId="1" applyNumberFormat="1" applyFont="1" applyFill="1"/>
    <xf numFmtId="2" fontId="23" fillId="0" borderId="0" xfId="3" applyNumberFormat="1" applyFont="1" applyFill="1"/>
    <xf numFmtId="165" fontId="23" fillId="0" borderId="0" xfId="3" applyNumberFormat="1" applyFont="1" applyFill="1"/>
    <xf numFmtId="0" fontId="28" fillId="0" borderId="0" xfId="0" applyFont="1" applyFill="1"/>
    <xf numFmtId="0" fontId="28" fillId="0" borderId="0" xfId="3" applyFont="1" applyFill="1"/>
    <xf numFmtId="165" fontId="28" fillId="0" borderId="0" xfId="3" applyNumberFormat="1" applyFont="1" applyFill="1"/>
    <xf numFmtId="165" fontId="23" fillId="0" borderId="0" xfId="3" applyNumberFormat="1" applyFont="1" applyFill="1" applyAlignment="1">
      <alignment horizontal="center"/>
    </xf>
    <xf numFmtId="165" fontId="29" fillId="0" borderId="5" xfId="0" applyNumberFormat="1" applyFont="1" applyFill="1" applyBorder="1"/>
    <xf numFmtId="9" fontId="23" fillId="0" borderId="0" xfId="3" applyNumberFormat="1" applyFont="1" applyFill="1"/>
    <xf numFmtId="1" fontId="22" fillId="0" borderId="0" xfId="3" applyNumberFormat="1" applyFont="1" applyFill="1"/>
    <xf numFmtId="1" fontId="23" fillId="0" borderId="0" xfId="3" applyNumberFormat="1" applyFont="1" applyFill="1"/>
    <xf numFmtId="0" fontId="22" fillId="0" borderId="0" xfId="3" applyFont="1"/>
    <xf numFmtId="1" fontId="22" fillId="0" borderId="0" xfId="3" applyNumberFormat="1" applyFont="1"/>
    <xf numFmtId="0" fontId="32" fillId="0" borderId="0" xfId="0" applyFont="1" applyFill="1"/>
    <xf numFmtId="0" fontId="20" fillId="0" borderId="0" xfId="0" applyFont="1" applyBorder="1"/>
    <xf numFmtId="0" fontId="22" fillId="0" borderId="0" xfId="3" applyFont="1" applyFill="1" applyAlignment="1">
      <alignment horizontal="center"/>
    </xf>
    <xf numFmtId="2" fontId="22" fillId="0" borderId="0" xfId="3" applyNumberFormat="1" applyFont="1" applyFill="1"/>
    <xf numFmtId="0" fontId="33" fillId="0" borderId="0" xfId="0" applyFont="1"/>
    <xf numFmtId="2" fontId="33" fillId="0" borderId="0" xfId="3" applyNumberFormat="1" applyFont="1" applyFill="1"/>
    <xf numFmtId="1" fontId="21" fillId="0" borderId="0" xfId="0" applyNumberFormat="1" applyFont="1" applyBorder="1"/>
    <xf numFmtId="2" fontId="21" fillId="0" borderId="0" xfId="0" applyNumberFormat="1" applyFont="1" applyBorder="1"/>
    <xf numFmtId="2" fontId="26" fillId="0" borderId="0" xfId="3" applyNumberFormat="1" applyFont="1" applyFill="1" applyBorder="1"/>
    <xf numFmtId="1" fontId="21" fillId="3" borderId="0" xfId="0" applyNumberFormat="1" applyFont="1" applyFill="1" applyBorder="1"/>
    <xf numFmtId="2" fontId="22" fillId="0" borderId="0" xfId="3" applyNumberFormat="1" applyFont="1" applyFill="1" applyBorder="1"/>
    <xf numFmtId="2" fontId="34" fillId="0" borderId="0" xfId="3" applyNumberFormat="1" applyFont="1" applyFill="1" applyBorder="1"/>
    <xf numFmtId="2" fontId="35" fillId="0" borderId="0" xfId="3" applyNumberFormat="1" applyFont="1" applyFill="1" applyBorder="1"/>
    <xf numFmtId="0" fontId="26" fillId="0" borderId="0" xfId="3" applyFont="1" applyFill="1" applyBorder="1"/>
    <xf numFmtId="165" fontId="21" fillId="0" borderId="0" xfId="0" applyNumberFormat="1" applyFont="1"/>
    <xf numFmtId="165" fontId="20" fillId="0" borderId="0" xfId="0" applyNumberFormat="1" applyFont="1" applyFill="1"/>
    <xf numFmtId="1" fontId="20" fillId="0" borderId="0" xfId="0" applyNumberFormat="1" applyFont="1" applyFill="1"/>
    <xf numFmtId="9" fontId="21" fillId="0" borderId="0" xfId="1" applyFont="1" applyFill="1"/>
    <xf numFmtId="165" fontId="21" fillId="0" borderId="0" xfId="0" applyNumberFormat="1" applyFont="1" applyFill="1"/>
    <xf numFmtId="0" fontId="36" fillId="6" borderId="0" xfId="0" applyFont="1" applyFill="1"/>
    <xf numFmtId="0" fontId="21" fillId="6" borderId="0" xfId="0" applyFont="1" applyFill="1"/>
    <xf numFmtId="0" fontId="37" fillId="6" borderId="0" xfId="0" applyFont="1" applyFill="1"/>
    <xf numFmtId="0" fontId="36" fillId="0" borderId="0" xfId="0" applyFont="1" applyFill="1"/>
    <xf numFmtId="0" fontId="37" fillId="0" borderId="0" xfId="0" applyFont="1" applyFill="1"/>
    <xf numFmtId="1" fontId="23" fillId="0" borderId="0" xfId="0" applyNumberFormat="1" applyFont="1" applyFill="1" applyBorder="1"/>
    <xf numFmtId="1" fontId="37" fillId="0" borderId="0" xfId="0" applyNumberFormat="1" applyFont="1" applyFill="1"/>
    <xf numFmtId="0" fontId="26" fillId="0" borderId="0" xfId="0" applyFont="1" applyFill="1"/>
    <xf numFmtId="0" fontId="38" fillId="0" borderId="0" xfId="0" applyFont="1" applyFill="1"/>
    <xf numFmtId="0" fontId="24" fillId="0" borderId="0" xfId="0" applyFont="1" applyFill="1"/>
    <xf numFmtId="1" fontId="38" fillId="0" borderId="0" xfId="0" applyNumberFormat="1" applyFont="1" applyFill="1"/>
    <xf numFmtId="0" fontId="37" fillId="0" borderId="0" xfId="0" applyFont="1"/>
    <xf numFmtId="0" fontId="34" fillId="0" borderId="0" xfId="0" applyFont="1" applyFill="1"/>
    <xf numFmtId="165" fontId="37" fillId="0" borderId="0" xfId="0" applyNumberFormat="1" applyFont="1" applyFill="1"/>
    <xf numFmtId="0" fontId="36" fillId="0" borderId="0" xfId="0" applyFont="1"/>
    <xf numFmtId="0" fontId="39" fillId="0" borderId="0" xfId="0" applyFont="1"/>
    <xf numFmtId="2" fontId="21" fillId="0" borderId="0" xfId="0" applyNumberFormat="1" applyFont="1"/>
    <xf numFmtId="0" fontId="0" fillId="5" borderId="6" xfId="0" applyNumberFormat="1" applyFill="1" applyBorder="1" applyAlignment="1"/>
    <xf numFmtId="0" fontId="0" fillId="5" borderId="0" xfId="0" applyNumberFormat="1" applyFont="1" applyFill="1" applyBorder="1" applyAlignment="1"/>
    <xf numFmtId="0" fontId="0" fillId="0" borderId="0" xfId="0" applyNumberFormat="1" applyFont="1" applyFill="1" applyBorder="1" applyAlignment="1"/>
    <xf numFmtId="0" fontId="0" fillId="7" borderId="6" xfId="0" applyNumberFormat="1" applyFont="1" applyFill="1" applyBorder="1" applyAlignment="1"/>
    <xf numFmtId="0" fontId="0" fillId="7" borderId="7" xfId="0" applyNumberFormat="1" applyFont="1" applyFill="1" applyBorder="1" applyAlignment="1"/>
    <xf numFmtId="0" fontId="0" fillId="7" borderId="7" xfId="0" applyNumberFormat="1" applyFill="1" applyBorder="1" applyAlignment="1"/>
    <xf numFmtId="0" fontId="0" fillId="5" borderId="8" xfId="0" applyNumberFormat="1" applyFill="1" applyBorder="1" applyAlignment="1"/>
    <xf numFmtId="2" fontId="0" fillId="0" borderId="0" xfId="0" applyNumberFormat="1" applyFont="1" applyFill="1" applyBorder="1" applyAlignment="1"/>
    <xf numFmtId="0" fontId="0" fillId="0" borderId="0" xfId="0" applyNumberFormat="1" applyFill="1" applyBorder="1" applyAlignment="1"/>
    <xf numFmtId="0" fontId="0" fillId="7" borderId="9" xfId="0" applyNumberFormat="1" applyFont="1" applyFill="1" applyBorder="1" applyAlignment="1"/>
    <xf numFmtId="166" fontId="0" fillId="0" borderId="5" xfId="0" applyNumberFormat="1" applyFont="1" applyFill="1" applyBorder="1" applyAlignment="1"/>
    <xf numFmtId="0" fontId="0" fillId="0" borderId="5" xfId="0" applyNumberFormat="1" applyFont="1" applyFill="1" applyBorder="1" applyAlignment="1"/>
    <xf numFmtId="166" fontId="0" fillId="0" borderId="0" xfId="0" applyNumberFormat="1" applyFont="1" applyFill="1" applyBorder="1" applyAlignment="1"/>
    <xf numFmtId="9" fontId="8" fillId="0" borderId="0" xfId="1" applyFont="1" applyFill="1" applyBorder="1" applyAlignment="1"/>
    <xf numFmtId="164" fontId="8" fillId="0" borderId="0" xfId="1" applyNumberFormat="1" applyFont="1" applyFill="1" applyBorder="1" applyAlignment="1"/>
    <xf numFmtId="0" fontId="0" fillId="7" borderId="9" xfId="0" applyNumberFormat="1" applyFill="1" applyBorder="1" applyAlignment="1"/>
    <xf numFmtId="2" fontId="0" fillId="0" borderId="5" xfId="0" applyNumberFormat="1" applyFont="1" applyFill="1" applyBorder="1" applyAlignment="1"/>
    <xf numFmtId="0" fontId="0" fillId="8" borderId="8" xfId="0" applyNumberFormat="1" applyFont="1" applyFill="1" applyBorder="1" applyAlignment="1"/>
    <xf numFmtId="166" fontId="42" fillId="8" borderId="0" xfId="0" applyNumberFormat="1" applyFont="1" applyFill="1" applyBorder="1" applyAlignment="1"/>
    <xf numFmtId="0" fontId="0" fillId="8" borderId="0" xfId="0" applyNumberFormat="1" applyFont="1" applyFill="1" applyBorder="1" applyAlignment="1"/>
    <xf numFmtId="9" fontId="8" fillId="8" borderId="0" xfId="1" applyFont="1" applyFill="1" applyBorder="1" applyAlignment="1"/>
    <xf numFmtId="0" fontId="43" fillId="0" borderId="8" xfId="0" applyNumberFormat="1" applyFont="1" applyFill="1" applyBorder="1" applyAlignment="1"/>
    <xf numFmtId="0" fontId="28" fillId="0" borderId="0" xfId="0" applyNumberFormat="1" applyFont="1" applyFill="1" applyBorder="1" applyAlignment="1"/>
    <xf numFmtId="0" fontId="44" fillId="0" borderId="0" xfId="0" applyNumberFormat="1" applyFont="1" applyFill="1" applyBorder="1" applyAlignment="1"/>
    <xf numFmtId="1" fontId="0" fillId="0" borderId="0" xfId="0" applyNumberFormat="1" applyFont="1" applyFill="1" applyBorder="1" applyAlignment="1"/>
    <xf numFmtId="166" fontId="0" fillId="0" borderId="6" xfId="0" applyNumberFormat="1" applyFont="1" applyFill="1" applyBorder="1" applyAlignment="1"/>
    <xf numFmtId="0" fontId="0" fillId="7" borderId="6" xfId="0" applyNumberFormat="1" applyFill="1" applyBorder="1" applyAlignment="1"/>
    <xf numFmtId="1" fontId="0" fillId="0" borderId="6" xfId="0" applyNumberFormat="1" applyFont="1" applyFill="1" applyBorder="1" applyAlignment="1"/>
    <xf numFmtId="0" fontId="0" fillId="7" borderId="8" xfId="0" applyNumberFormat="1" applyFont="1" applyFill="1" applyBorder="1" applyAlignment="1"/>
    <xf numFmtId="166" fontId="2" fillId="0" borderId="0" xfId="0" applyNumberFormat="1" applyFont="1" applyFill="1" applyBorder="1" applyAlignment="1"/>
    <xf numFmtId="0" fontId="2" fillId="0" borderId="0" xfId="0" applyNumberFormat="1" applyFont="1" applyFill="1" applyBorder="1" applyAlignment="1"/>
    <xf numFmtId="0" fontId="4" fillId="0" borderId="0" xfId="0" applyNumberFormat="1" applyFont="1" applyFill="1" applyBorder="1" applyAlignment="1">
      <alignment wrapText="1"/>
    </xf>
    <xf numFmtId="167" fontId="0" fillId="0" borderId="0" xfId="0" applyNumberFormat="1" applyFont="1" applyFill="1" applyBorder="1" applyAlignment="1"/>
    <xf numFmtId="167" fontId="0" fillId="3" borderId="0" xfId="0" applyNumberFormat="1" applyFont="1" applyFill="1" applyBorder="1" applyAlignment="1"/>
    <xf numFmtId="9" fontId="4" fillId="3" borderId="0" xfId="1" applyFont="1" applyFill="1" applyBorder="1" applyAlignment="1"/>
    <xf numFmtId="164" fontId="4" fillId="0" borderId="0" xfId="1" applyNumberFormat="1" applyFont="1" applyFill="1" applyBorder="1" applyAlignment="1"/>
    <xf numFmtId="164" fontId="8" fillId="3" borderId="0" xfId="1" applyNumberFormat="1" applyFont="1" applyFill="1" applyBorder="1" applyAlignment="1"/>
    <xf numFmtId="164" fontId="1" fillId="3" borderId="0" xfId="1" applyNumberFormat="1" applyFont="1" applyFill="1" applyBorder="1" applyAlignment="1"/>
    <xf numFmtId="165" fontId="8" fillId="0" borderId="0" xfId="1" applyNumberFormat="1" applyFont="1" applyFill="1" applyBorder="1" applyAlignment="1"/>
    <xf numFmtId="9" fontId="4" fillId="0" borderId="0" xfId="1" applyFont="1" applyFill="1" applyBorder="1" applyAlignment="1"/>
    <xf numFmtId="164" fontId="1" fillId="0" borderId="0" xfId="1" applyNumberFormat="1" applyFont="1" applyFill="1" applyBorder="1" applyAlignment="1"/>
    <xf numFmtId="165" fontId="45" fillId="0" borderId="0" xfId="1" applyNumberFormat="1" applyFont="1" applyFill="1" applyBorder="1" applyAlignment="1"/>
    <xf numFmtId="164" fontId="8" fillId="5" borderId="0" xfId="1" applyNumberFormat="1" applyFont="1" applyFill="1" applyBorder="1" applyAlignment="1"/>
    <xf numFmtId="164" fontId="45" fillId="5" borderId="0" xfId="1" applyNumberFormat="1" applyFont="1" applyFill="1" applyBorder="1" applyAlignment="1"/>
    <xf numFmtId="0" fontId="46" fillId="0" borderId="0" xfId="0" applyNumberFormat="1" applyFont="1" applyFill="1" applyBorder="1" applyAlignment="1"/>
    <xf numFmtId="0" fontId="47" fillId="0" borderId="0" xfId="0" applyNumberFormat="1" applyFont="1" applyFill="1" applyBorder="1" applyAlignment="1"/>
    <xf numFmtId="0" fontId="37" fillId="0" borderId="0" xfId="0" applyNumberFormat="1" applyFont="1" applyFill="1" applyBorder="1" applyAlignment="1"/>
    <xf numFmtId="0" fontId="48" fillId="0" borderId="0" xfId="0" applyNumberFormat="1" applyFont="1" applyFill="1" applyBorder="1" applyAlignment="1"/>
    <xf numFmtId="0" fontId="0" fillId="0" borderId="5" xfId="0" applyNumberFormat="1" applyFill="1" applyBorder="1" applyAlignment="1"/>
    <xf numFmtId="1" fontId="45" fillId="0" borderId="6" xfId="0" applyNumberFormat="1" applyFont="1" applyFill="1" applyBorder="1" applyAlignment="1">
      <alignment horizontal="right"/>
    </xf>
    <xf numFmtId="164" fontId="8" fillId="9" borderId="5" xfId="1" applyNumberFormat="1" applyFont="1" applyFill="1" applyBorder="1" applyAlignment="1"/>
    <xf numFmtId="0" fontId="49" fillId="8" borderId="0" xfId="0" applyFont="1" applyFill="1"/>
    <xf numFmtId="0" fontId="50" fillId="8" borderId="0" xfId="0" applyFont="1" applyFill="1"/>
    <xf numFmtId="0" fontId="51" fillId="8" borderId="0" xfId="0" applyNumberFormat="1" applyFont="1" applyFill="1" applyBorder="1" applyAlignment="1"/>
    <xf numFmtId="164" fontId="1" fillId="5" borderId="0" xfId="1" applyNumberFormat="1" applyFont="1" applyFill="1" applyBorder="1" applyAlignment="1"/>
    <xf numFmtId="164" fontId="1" fillId="0" borderId="0" xfId="1" applyNumberFormat="1" applyFont="1"/>
    <xf numFmtId="0" fontId="4" fillId="0" borderId="0" xfId="0" applyFont="1"/>
    <xf numFmtId="0" fontId="27" fillId="0" borderId="10" xfId="4" applyNumberFormat="1" applyFont="1" applyFill="1" applyBorder="1" applyAlignment="1">
      <alignment horizontal="left" vertical="center"/>
    </xf>
    <xf numFmtId="0" fontId="52" fillId="0" borderId="11" xfId="0" applyNumberFormat="1" applyFont="1" applyFill="1" applyBorder="1" applyAlignment="1">
      <alignment horizontal="left"/>
    </xf>
    <xf numFmtId="165" fontId="53" fillId="0" borderId="11" xfId="0" applyNumberFormat="1" applyFont="1" applyFill="1" applyBorder="1" applyAlignment="1">
      <alignment horizontal="center"/>
    </xf>
    <xf numFmtId="165" fontId="53" fillId="0" borderId="12" xfId="0" applyNumberFormat="1" applyFont="1" applyFill="1" applyBorder="1" applyAlignment="1">
      <alignment horizontal="center"/>
    </xf>
    <xf numFmtId="0" fontId="0" fillId="0" borderId="0" xfId="0" applyBorder="1" applyAlignment="1">
      <alignment vertical="center"/>
    </xf>
    <xf numFmtId="0" fontId="0" fillId="0" borderId="13" xfId="0" applyBorder="1"/>
    <xf numFmtId="0" fontId="27" fillId="0" borderId="0" xfId="4" applyNumberFormat="1" applyFont="1" applyFill="1" applyBorder="1" applyAlignment="1">
      <alignment horizontal="center" vertical="center"/>
    </xf>
    <xf numFmtId="1" fontId="27" fillId="0" borderId="0" xfId="0" applyNumberFormat="1" applyFont="1" applyFill="1" applyBorder="1" applyAlignment="1">
      <alignment horizontal="right"/>
    </xf>
    <xf numFmtId="1" fontId="27" fillId="0" borderId="14" xfId="0" applyNumberFormat="1" applyFont="1" applyFill="1" applyBorder="1" applyAlignment="1">
      <alignment horizontal="right"/>
    </xf>
    <xf numFmtId="0" fontId="0" fillId="0" borderId="14" xfId="0" applyBorder="1" applyAlignment="1">
      <alignment vertical="center"/>
    </xf>
    <xf numFmtId="1" fontId="0" fillId="0" borderId="0" xfId="0" applyNumberFormat="1" applyBorder="1"/>
    <xf numFmtId="1" fontId="0" fillId="0" borderId="14" xfId="0" applyNumberFormat="1" applyBorder="1"/>
    <xf numFmtId="0" fontId="27" fillId="0" borderId="13" xfId="4" applyNumberFormat="1" applyFont="1" applyFill="1" applyBorder="1">
      <alignment horizontal="left" vertical="center"/>
    </xf>
    <xf numFmtId="1" fontId="0" fillId="0" borderId="0" xfId="0" applyNumberFormat="1" applyBorder="1" applyAlignment="1">
      <alignment vertical="center"/>
    </xf>
    <xf numFmtId="1" fontId="0" fillId="0" borderId="14" xfId="0" applyNumberFormat="1" applyBorder="1" applyAlignment="1">
      <alignment vertical="center"/>
    </xf>
    <xf numFmtId="0" fontId="0" fillId="3" borderId="0" xfId="0" applyFill="1" applyBorder="1" applyAlignment="1">
      <alignment vertical="center"/>
    </xf>
    <xf numFmtId="164" fontId="1" fillId="0" borderId="0" xfId="1" applyNumberFormat="1" applyFont="1" applyBorder="1" applyAlignment="1">
      <alignment vertical="center"/>
    </xf>
    <xf numFmtId="0" fontId="27" fillId="0" borderId="13" xfId="5" applyNumberFormat="1" applyFont="1" applyFill="1" applyBorder="1">
      <alignment horizontal="left" vertical="center" indent="2"/>
    </xf>
    <xf numFmtId="0" fontId="27" fillId="0" borderId="15" xfId="5" applyNumberFormat="1" applyFont="1" applyFill="1" applyBorder="1">
      <alignment horizontal="left" vertical="center" indent="2"/>
    </xf>
    <xf numFmtId="0" fontId="0" fillId="0" borderId="16" xfId="0" applyBorder="1" applyAlignment="1">
      <alignment vertical="center"/>
    </xf>
    <xf numFmtId="0" fontId="27" fillId="0" borderId="16" xfId="4" applyNumberFormat="1" applyFont="1" applyFill="1" applyBorder="1" applyAlignment="1">
      <alignment horizontal="center" vertical="center"/>
    </xf>
    <xf numFmtId="1" fontId="0" fillId="0" borderId="16" xfId="0" applyNumberFormat="1" applyBorder="1" applyAlignment="1">
      <alignment vertical="center"/>
    </xf>
    <xf numFmtId="1" fontId="0" fillId="0" borderId="17" xfId="0" applyNumberFormat="1" applyBorder="1" applyAlignment="1">
      <alignment vertical="center"/>
    </xf>
    <xf numFmtId="1" fontId="0" fillId="0" borderId="0" xfId="0" applyNumberFormat="1"/>
    <xf numFmtId="0" fontId="27" fillId="0" borderId="0" xfId="5" applyNumberFormat="1" applyFont="1" applyFill="1" applyBorder="1">
      <alignment horizontal="left" vertical="center" indent="2"/>
    </xf>
    <xf numFmtId="9" fontId="8" fillId="0" borderId="0" xfId="1" applyFont="1"/>
    <xf numFmtId="9" fontId="8" fillId="3" borderId="0" xfId="1" applyFont="1" applyFill="1"/>
    <xf numFmtId="0" fontId="27" fillId="0" borderId="18" xfId="4" applyNumberFormat="1" applyFont="1" applyFill="1" applyBorder="1">
      <alignment horizontal="left" vertical="center"/>
    </xf>
    <xf numFmtId="1" fontId="0" fillId="0" borderId="19" xfId="0" applyNumberFormat="1" applyBorder="1" applyAlignment="1">
      <alignment vertical="center"/>
    </xf>
  </cellXfs>
  <cellStyles count="6">
    <cellStyle name="2x indented GHG Textfiels" xfId="5"/>
    <cellStyle name="Hyperlink" xfId="2" builtinId="8"/>
    <cellStyle name="Normal" xfId="0" builtinId="0"/>
    <cellStyle name="Normal GHG Textfiels Bold" xfId="4"/>
    <cellStyle name="Normal_ODEX_aut-slcl" xfId="3"/>
    <cellStyle name="Percent" xfId="1" builtinId="5"/>
  </cellStyles>
  <dxfs count="1">
    <dxf>
      <font>
        <b val="0"/>
        <i val="0"/>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58</xdr:row>
          <xdr:rowOff>171450</xdr:rowOff>
        </xdr:from>
        <xdr:to>
          <xdr:col>5</xdr:col>
          <xdr:colOff>219075</xdr:colOff>
          <xdr:row>60</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ea.europa.eu/publications/european-community-greenhouse-gas-inventory-2009/" TargetMode="External"/><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20"/>
  <sheetViews>
    <sheetView tabSelected="1" zoomScale="80" zoomScaleNormal="80" workbookViewId="0">
      <selection activeCell="P20" sqref="P20"/>
    </sheetView>
  </sheetViews>
  <sheetFormatPr defaultColWidth="11.42578125" defaultRowHeight="15" x14ac:dyDescent="0.25"/>
  <cols>
    <col min="1" max="1" width="12.140625" style="1" customWidth="1"/>
    <col min="2" max="2" width="11.42578125" style="1" customWidth="1"/>
    <col min="3" max="3" width="6.42578125" style="1" customWidth="1"/>
    <col min="4" max="16384" width="11.42578125" style="1"/>
  </cols>
  <sheetData>
    <row r="2" spans="1:9" ht="18.75" x14ac:dyDescent="0.3">
      <c r="B2" s="2" t="s">
        <v>0</v>
      </c>
    </row>
    <row r="3" spans="1:9" ht="28.5" x14ac:dyDescent="0.45">
      <c r="F3" s="3" t="s">
        <v>1</v>
      </c>
    </row>
    <row r="4" spans="1:9" ht="9" customHeight="1" x14ac:dyDescent="0.25"/>
    <row r="5" spans="1:9" ht="18.75" x14ac:dyDescent="0.3">
      <c r="A5" s="2" t="s">
        <v>2</v>
      </c>
    </row>
    <row r="6" spans="1:9" ht="7.5" customHeight="1" x14ac:dyDescent="0.3">
      <c r="A6" s="2"/>
    </row>
    <row r="7" spans="1:9" x14ac:dyDescent="0.25">
      <c r="A7" s="4" t="s">
        <v>3</v>
      </c>
    </row>
    <row r="8" spans="1:9" x14ac:dyDescent="0.25">
      <c r="A8" s="4"/>
      <c r="B8" s="1" t="s">
        <v>4</v>
      </c>
    </row>
    <row r="9" spans="1:9" x14ac:dyDescent="0.25">
      <c r="B9" s="5" t="s">
        <v>5</v>
      </c>
      <c r="C9" s="5"/>
      <c r="D9" s="5"/>
      <c r="E9" s="5"/>
    </row>
    <row r="10" spans="1:9" x14ac:dyDescent="0.25">
      <c r="B10" s="5" t="s">
        <v>6</v>
      </c>
      <c r="C10" s="5"/>
      <c r="D10" s="5"/>
      <c r="E10" s="5"/>
    </row>
    <row r="11" spans="1:9" x14ac:dyDescent="0.25">
      <c r="B11" s="5" t="s">
        <v>7</v>
      </c>
      <c r="C11" s="5"/>
      <c r="D11" s="5"/>
      <c r="E11" s="5"/>
    </row>
    <row r="13" spans="1:9" x14ac:dyDescent="0.25">
      <c r="B13" s="1" t="s">
        <v>8</v>
      </c>
      <c r="I13" s="6"/>
    </row>
    <row r="14" spans="1:9" x14ac:dyDescent="0.25">
      <c r="B14" s="5" t="s">
        <v>9</v>
      </c>
      <c r="C14" s="5"/>
      <c r="D14" s="5"/>
      <c r="E14" s="5"/>
    </row>
    <row r="15" spans="1:9" x14ac:dyDescent="0.25">
      <c r="B15" s="5" t="s">
        <v>10</v>
      </c>
      <c r="C15" s="5"/>
      <c r="D15" s="5"/>
      <c r="E15" s="5"/>
    </row>
    <row r="16" spans="1:9" x14ac:dyDescent="0.25">
      <c r="B16" s="5" t="s">
        <v>11</v>
      </c>
      <c r="C16" s="5"/>
      <c r="D16" s="5"/>
      <c r="E16" s="5"/>
    </row>
    <row r="18" spans="1:6" ht="18.75" x14ac:dyDescent="0.3">
      <c r="A18" s="2" t="s">
        <v>12</v>
      </c>
    </row>
    <row r="19" spans="1:6" x14ac:dyDescent="0.25">
      <c r="A19" s="4" t="s">
        <v>13</v>
      </c>
    </row>
    <row r="20" spans="1:6" ht="18.75" x14ac:dyDescent="0.3">
      <c r="A20" s="2"/>
      <c r="B20" s="1" t="s">
        <v>14</v>
      </c>
    </row>
    <row r="21" spans="1:6" ht="18.75" x14ac:dyDescent="0.3">
      <c r="A21" s="2"/>
      <c r="B21" s="1" t="s">
        <v>15</v>
      </c>
    </row>
    <row r="22" spans="1:6" ht="18.75" x14ac:dyDescent="0.3">
      <c r="A22" s="2"/>
    </row>
    <row r="23" spans="1:6" ht="18.75" x14ac:dyDescent="0.3">
      <c r="A23" s="2" t="s">
        <v>16</v>
      </c>
    </row>
    <row r="24" spans="1:6" ht="7.5" customHeight="1" x14ac:dyDescent="0.25"/>
    <row r="25" spans="1:6" x14ac:dyDescent="0.25">
      <c r="A25" s="4" t="s">
        <v>17</v>
      </c>
    </row>
    <row r="26" spans="1:6" x14ac:dyDescent="0.25">
      <c r="B26" s="1" t="s">
        <v>18</v>
      </c>
    </row>
    <row r="27" spans="1:6" x14ac:dyDescent="0.25">
      <c r="B27" s="1" t="s">
        <v>19</v>
      </c>
    </row>
    <row r="28" spans="1:6" ht="8.25" customHeight="1" x14ac:dyDescent="0.25"/>
    <row r="29" spans="1:6" ht="18.75" x14ac:dyDescent="0.3">
      <c r="A29" s="2" t="s">
        <v>20</v>
      </c>
      <c r="B29" s="4"/>
      <c r="C29" s="4"/>
      <c r="D29" s="4"/>
      <c r="E29" s="4"/>
      <c r="F29" s="4"/>
    </row>
    <row r="30" spans="1:6" x14ac:dyDescent="0.25">
      <c r="A30" s="4" t="s">
        <v>21</v>
      </c>
      <c r="B30" s="4"/>
      <c r="C30" s="4"/>
      <c r="D30" s="4"/>
      <c r="E30" s="4"/>
      <c r="F30" s="4"/>
    </row>
    <row r="31" spans="1:6" x14ac:dyDescent="0.25">
      <c r="B31" s="1" t="s">
        <v>22</v>
      </c>
    </row>
    <row r="32" spans="1:6" x14ac:dyDescent="0.25">
      <c r="A32" s="4"/>
      <c r="B32" s="7" t="s">
        <v>23</v>
      </c>
    </row>
    <row r="35" spans="1:10" x14ac:dyDescent="0.25">
      <c r="A35" s="1" t="s">
        <v>24</v>
      </c>
    </row>
    <row r="36" spans="1:10" x14ac:dyDescent="0.25">
      <c r="A36" s="4"/>
      <c r="B36" s="4"/>
      <c r="C36" s="4"/>
      <c r="D36" s="4"/>
      <c r="E36" s="4"/>
      <c r="F36" s="4"/>
    </row>
    <row r="37" spans="1:10" x14ac:dyDescent="0.25">
      <c r="A37" s="8" t="s">
        <v>25</v>
      </c>
    </row>
    <row r="38" spans="1:10" ht="17.25" customHeight="1" x14ac:dyDescent="0.25"/>
    <row r="39" spans="1:10" x14ac:dyDescent="0.25">
      <c r="A39" s="4" t="s">
        <v>26</v>
      </c>
      <c r="B39" s="4" t="s">
        <v>27</v>
      </c>
      <c r="C39" s="4"/>
    </row>
    <row r="40" spans="1:10" x14ac:dyDescent="0.25">
      <c r="A40" s="9"/>
      <c r="B40" s="1" t="s">
        <v>28</v>
      </c>
      <c r="C40" s="10"/>
      <c r="D40" s="10"/>
      <c r="E40" s="10"/>
      <c r="F40" s="10"/>
      <c r="G40" s="10"/>
      <c r="H40" s="10"/>
      <c r="I40" s="10"/>
      <c r="J40" s="10"/>
    </row>
    <row r="41" spans="1:10" x14ac:dyDescent="0.25">
      <c r="A41" s="11"/>
      <c r="B41" s="1" t="s">
        <v>29</v>
      </c>
      <c r="C41" s="10"/>
      <c r="D41" s="10"/>
      <c r="E41" s="10"/>
      <c r="F41" s="10"/>
      <c r="G41" s="10"/>
      <c r="H41" s="10"/>
      <c r="I41" s="10"/>
      <c r="J41" s="10"/>
    </row>
    <row r="42" spans="1:10" x14ac:dyDescent="0.25">
      <c r="A42" s="11"/>
      <c r="B42" s="1" t="s">
        <v>30</v>
      </c>
      <c r="C42" s="10"/>
      <c r="D42" s="10"/>
      <c r="E42" s="10"/>
      <c r="F42" s="10"/>
      <c r="G42" s="10"/>
      <c r="H42" s="10"/>
      <c r="I42" s="10"/>
      <c r="J42" s="10"/>
    </row>
    <row r="43" spans="1:10" x14ac:dyDescent="0.25">
      <c r="A43" s="9"/>
      <c r="B43" s="1" t="s">
        <v>31</v>
      </c>
      <c r="C43" s="10"/>
      <c r="D43" s="10"/>
      <c r="E43" s="10"/>
      <c r="F43" s="10"/>
      <c r="G43" s="10"/>
      <c r="H43" s="10"/>
      <c r="I43" s="10"/>
      <c r="J43" s="10"/>
    </row>
    <row r="44" spans="1:10" x14ac:dyDescent="0.25">
      <c r="A44" s="11"/>
      <c r="B44" s="11"/>
      <c r="C44" s="12" t="s">
        <v>32</v>
      </c>
      <c r="D44" s="10"/>
      <c r="E44" s="10"/>
      <c r="F44" s="10"/>
      <c r="G44" s="10"/>
      <c r="H44" s="10"/>
      <c r="I44" s="10"/>
      <c r="J44" s="10"/>
    </row>
    <row r="45" spans="1:10" x14ac:dyDescent="0.25">
      <c r="B45" s="10"/>
      <c r="C45" s="12" t="s">
        <v>33</v>
      </c>
      <c r="D45" s="10"/>
      <c r="E45" s="10"/>
      <c r="F45" s="10"/>
      <c r="G45" s="10"/>
    </row>
    <row r="46" spans="1:10" x14ac:dyDescent="0.25">
      <c r="B46" s="10"/>
      <c r="C46" s="12" t="s">
        <v>34</v>
      </c>
      <c r="D46" s="10"/>
      <c r="E46" s="10"/>
      <c r="F46" s="10"/>
      <c r="G46" s="10"/>
    </row>
    <row r="47" spans="1:10" x14ac:dyDescent="0.25">
      <c r="B47" s="10"/>
      <c r="C47" s="12" t="s">
        <v>35</v>
      </c>
      <c r="D47" s="10"/>
      <c r="E47" s="10"/>
      <c r="F47" s="10"/>
      <c r="G47" s="10"/>
    </row>
    <row r="48" spans="1:10" x14ac:dyDescent="0.25">
      <c r="B48" s="10"/>
      <c r="C48" s="12"/>
      <c r="D48" s="10"/>
      <c r="E48" s="10"/>
      <c r="F48" s="10"/>
      <c r="G48" s="10"/>
    </row>
    <row r="49" spans="1:13" x14ac:dyDescent="0.25">
      <c r="B49" s="1" t="s">
        <v>36</v>
      </c>
      <c r="C49" s="12"/>
      <c r="D49" s="10"/>
      <c r="E49" s="10"/>
      <c r="F49" s="10"/>
      <c r="G49" s="10"/>
    </row>
    <row r="50" spans="1:13" x14ac:dyDescent="0.25">
      <c r="B50" s="1" t="s">
        <v>37</v>
      </c>
      <c r="C50" s="12"/>
      <c r="D50" s="10"/>
      <c r="E50" s="10"/>
      <c r="F50" s="10"/>
      <c r="G50" s="10"/>
    </row>
    <row r="51" spans="1:13" x14ac:dyDescent="0.25">
      <c r="B51" s="1" t="s">
        <v>38</v>
      </c>
      <c r="C51" s="12"/>
      <c r="D51" s="10"/>
      <c r="E51" s="10"/>
      <c r="F51" s="10"/>
      <c r="G51" s="10"/>
    </row>
    <row r="52" spans="1:13" x14ac:dyDescent="0.25">
      <c r="B52" s="1" t="s">
        <v>39</v>
      </c>
      <c r="C52" s="12"/>
      <c r="D52" s="10"/>
      <c r="E52" s="10"/>
      <c r="F52" s="10"/>
      <c r="G52" s="10"/>
    </row>
    <row r="53" spans="1:13" x14ac:dyDescent="0.25">
      <c r="B53" s="1" t="s">
        <v>40</v>
      </c>
      <c r="C53" s="12"/>
      <c r="D53" s="10"/>
      <c r="E53" s="10"/>
      <c r="F53" s="10"/>
      <c r="G53" s="10"/>
    </row>
    <row r="54" spans="1:13" x14ac:dyDescent="0.25">
      <c r="B54" s="1" t="s">
        <v>41</v>
      </c>
      <c r="C54" s="12"/>
      <c r="D54" s="10"/>
      <c r="E54" s="10"/>
      <c r="F54" s="10"/>
      <c r="G54" s="10"/>
    </row>
    <row r="55" spans="1:13" x14ac:dyDescent="0.25">
      <c r="B55" s="1" t="s">
        <v>42</v>
      </c>
      <c r="C55" s="12"/>
      <c r="D55" s="10"/>
      <c r="E55" s="10"/>
      <c r="F55" s="10"/>
      <c r="G55" s="10"/>
    </row>
    <row r="56" spans="1:13" x14ac:dyDescent="0.25">
      <c r="A56" s="4"/>
      <c r="B56" s="4"/>
      <c r="C56" s="4"/>
    </row>
    <row r="57" spans="1:13" ht="6.75" customHeight="1" x14ac:dyDescent="0.25">
      <c r="B57" s="10"/>
      <c r="C57" s="10"/>
      <c r="D57" s="10"/>
      <c r="E57" s="10"/>
      <c r="F57" s="10"/>
      <c r="G57" s="10"/>
      <c r="H57" s="10"/>
      <c r="I57" s="10"/>
      <c r="J57" s="10"/>
      <c r="K57" s="10"/>
      <c r="L57" s="10"/>
    </row>
    <row r="58" spans="1:13" ht="15.75" x14ac:dyDescent="0.25">
      <c r="C58" s="13" t="s">
        <v>43</v>
      </c>
      <c r="D58" s="10"/>
      <c r="E58" s="10"/>
      <c r="F58" s="10"/>
      <c r="G58" s="10"/>
      <c r="H58" s="10"/>
      <c r="I58" s="10"/>
      <c r="J58" s="10"/>
      <c r="K58" s="10"/>
      <c r="L58" s="10"/>
      <c r="M58" s="10"/>
    </row>
    <row r="59" spans="1:13" x14ac:dyDescent="0.25">
      <c r="C59" s="10"/>
      <c r="D59" s="10"/>
      <c r="E59" s="10"/>
      <c r="F59" s="10"/>
      <c r="G59" s="10"/>
      <c r="H59" s="10"/>
      <c r="I59" s="10"/>
      <c r="J59" s="10"/>
      <c r="K59" s="10"/>
      <c r="L59" s="10"/>
      <c r="M59" s="10"/>
    </row>
    <row r="60" spans="1:13" ht="20.25" x14ac:dyDescent="0.35">
      <c r="C60" s="14" t="s">
        <v>44</v>
      </c>
      <c r="D60" s="10"/>
      <c r="E60" s="10"/>
      <c r="F60" s="10"/>
      <c r="G60" s="10"/>
      <c r="H60" s="10"/>
      <c r="I60" s="1" t="s">
        <v>45</v>
      </c>
      <c r="J60" s="10"/>
      <c r="K60" s="10"/>
      <c r="L60" s="10"/>
      <c r="M60" s="10"/>
    </row>
    <row r="61" spans="1:13" ht="18" x14ac:dyDescent="0.35">
      <c r="C61" s="10"/>
      <c r="D61" s="10"/>
      <c r="E61" s="10"/>
      <c r="F61" s="10"/>
      <c r="G61" s="10"/>
      <c r="H61" s="10"/>
      <c r="I61" s="13" t="s">
        <v>46</v>
      </c>
      <c r="J61" s="10"/>
      <c r="K61" s="10"/>
      <c r="L61" s="10"/>
      <c r="M61" s="10"/>
    </row>
    <row r="62" spans="1:13" x14ac:dyDescent="0.25">
      <c r="C62" s="10"/>
      <c r="D62" s="10"/>
      <c r="E62" s="10"/>
      <c r="F62" s="10"/>
      <c r="G62" s="10"/>
      <c r="H62" s="10"/>
      <c r="I62" s="10"/>
      <c r="J62" s="10"/>
      <c r="K62" s="10"/>
      <c r="L62" s="10"/>
      <c r="M62" s="10"/>
    </row>
    <row r="63" spans="1:13" x14ac:dyDescent="0.25">
      <c r="C63" s="10" t="s">
        <v>47</v>
      </c>
      <c r="D63" s="10"/>
      <c r="E63" s="10"/>
      <c r="F63" s="10"/>
      <c r="G63" s="10"/>
      <c r="H63" s="10"/>
      <c r="I63" s="10"/>
      <c r="J63" s="10"/>
      <c r="K63" s="10"/>
      <c r="L63" s="10"/>
      <c r="M63" s="10"/>
    </row>
    <row r="64" spans="1:13" ht="18" x14ac:dyDescent="0.35">
      <c r="E64" s="15" t="s">
        <v>48</v>
      </c>
    </row>
    <row r="65" spans="1:6" ht="9" customHeight="1" x14ac:dyDescent="0.25">
      <c r="C65" s="10"/>
    </row>
    <row r="66" spans="1:6" ht="18" x14ac:dyDescent="0.35">
      <c r="B66" s="16"/>
      <c r="C66" s="17" t="s">
        <v>49</v>
      </c>
    </row>
    <row r="68" spans="1:6" x14ac:dyDescent="0.25">
      <c r="A68" s="4" t="s">
        <v>50</v>
      </c>
      <c r="B68" s="4" t="s">
        <v>51</v>
      </c>
      <c r="C68" s="4"/>
      <c r="D68" s="4"/>
      <c r="E68" s="4"/>
      <c r="F68" s="4"/>
    </row>
    <row r="69" spans="1:6" x14ac:dyDescent="0.25">
      <c r="B69" s="1" t="s">
        <v>52</v>
      </c>
    </row>
    <row r="71" spans="1:6" x14ac:dyDescent="0.25">
      <c r="A71" s="4" t="s">
        <v>53</v>
      </c>
      <c r="B71" s="4" t="s">
        <v>54</v>
      </c>
      <c r="C71" s="4"/>
      <c r="D71" s="4"/>
      <c r="E71" s="4"/>
      <c r="F71" s="4"/>
    </row>
    <row r="72" spans="1:6" x14ac:dyDescent="0.25">
      <c r="B72" s="1" t="s">
        <v>55</v>
      </c>
    </row>
    <row r="73" spans="1:6" ht="12.75" customHeight="1" x14ac:dyDescent="0.25">
      <c r="A73" s="18"/>
      <c r="B73" s="18"/>
      <c r="C73" s="18"/>
    </row>
    <row r="74" spans="1:6" x14ac:dyDescent="0.25">
      <c r="A74" s="18"/>
      <c r="B74" s="7" t="s">
        <v>56</v>
      </c>
      <c r="C74" s="18"/>
    </row>
    <row r="75" spans="1:6" x14ac:dyDescent="0.25">
      <c r="B75" s="19" t="s">
        <v>57</v>
      </c>
    </row>
    <row r="76" spans="1:6" x14ac:dyDescent="0.25">
      <c r="B76" s="1" t="s">
        <v>58</v>
      </c>
    </row>
    <row r="78" spans="1:6" x14ac:dyDescent="0.25">
      <c r="A78" s="4" t="s">
        <v>59</v>
      </c>
      <c r="B78" s="4" t="s">
        <v>60</v>
      </c>
      <c r="C78" s="4"/>
    </row>
    <row r="80" spans="1:6" x14ac:dyDescent="0.25">
      <c r="B80" s="20" t="s">
        <v>61</v>
      </c>
    </row>
    <row r="81" spans="2:11" x14ac:dyDescent="0.25">
      <c r="B81" s="1" t="s">
        <v>62</v>
      </c>
    </row>
    <row r="82" spans="2:11" x14ac:dyDescent="0.25">
      <c r="B82" s="12" t="s">
        <v>63</v>
      </c>
    </row>
    <row r="83" spans="2:11" x14ac:dyDescent="0.25">
      <c r="B83" s="1" t="s">
        <v>64</v>
      </c>
    </row>
    <row r="85" spans="2:11" ht="18.75" x14ac:dyDescent="0.35">
      <c r="B85" s="21" t="s">
        <v>65</v>
      </c>
      <c r="C85" s="21"/>
      <c r="D85" s="21" t="s">
        <v>66</v>
      </c>
      <c r="E85" s="21"/>
      <c r="F85" s="21"/>
      <c r="G85" s="21"/>
      <c r="H85" s="21"/>
      <c r="I85" s="21" t="s">
        <v>67</v>
      </c>
      <c r="J85" s="21"/>
      <c r="K85" s="21"/>
    </row>
    <row r="86" spans="2:11" ht="15.75" x14ac:dyDescent="0.25">
      <c r="B86" s="21"/>
      <c r="C86" s="21"/>
      <c r="D86" s="21"/>
      <c r="E86" s="21"/>
      <c r="F86" s="21"/>
      <c r="G86" s="21"/>
      <c r="H86" s="21"/>
      <c r="I86" s="21" t="s">
        <v>68</v>
      </c>
      <c r="J86" s="21"/>
      <c r="K86" s="21"/>
    </row>
    <row r="87" spans="2:11" ht="15.75" x14ac:dyDescent="0.25">
      <c r="B87" s="21"/>
      <c r="C87" s="21"/>
      <c r="D87" s="21"/>
      <c r="E87" s="21"/>
      <c r="F87" s="21"/>
      <c r="G87" s="21"/>
      <c r="H87" s="21"/>
      <c r="I87" s="21" t="s">
        <v>69</v>
      </c>
      <c r="J87" s="21"/>
      <c r="K87" s="21"/>
    </row>
    <row r="88" spans="2:11" ht="15.75" x14ac:dyDescent="0.25">
      <c r="B88" s="21" t="s">
        <v>70</v>
      </c>
      <c r="C88" s="21"/>
      <c r="E88" s="21" t="s">
        <v>71</v>
      </c>
      <c r="F88" s="21"/>
      <c r="G88" s="21" t="s">
        <v>72</v>
      </c>
      <c r="H88" s="21"/>
      <c r="I88" s="21"/>
      <c r="J88" s="21"/>
      <c r="K88" s="21"/>
    </row>
    <row r="89" spans="2:11" ht="15.75" x14ac:dyDescent="0.25">
      <c r="B89" s="21" t="s">
        <v>73</v>
      </c>
      <c r="C89" s="21"/>
      <c r="E89" s="21"/>
      <c r="F89" s="21"/>
      <c r="G89" s="21"/>
      <c r="H89" s="21"/>
      <c r="I89" s="21"/>
      <c r="J89" s="21"/>
      <c r="K89" s="21"/>
    </row>
    <row r="90" spans="2:11" ht="15.75" x14ac:dyDescent="0.25">
      <c r="B90" s="21" t="s">
        <v>70</v>
      </c>
      <c r="C90" s="21"/>
      <c r="D90" s="21"/>
      <c r="E90" s="21" t="s">
        <v>74</v>
      </c>
      <c r="F90" s="21"/>
      <c r="G90" s="21"/>
      <c r="H90" s="21"/>
      <c r="J90" s="21" t="s">
        <v>75</v>
      </c>
      <c r="K90" s="21"/>
    </row>
    <row r="91" spans="2:11" ht="15.75" x14ac:dyDescent="0.25">
      <c r="B91" s="21"/>
      <c r="C91" s="21"/>
      <c r="D91" s="21"/>
      <c r="E91" s="21"/>
      <c r="F91" s="21"/>
      <c r="G91" s="21"/>
      <c r="H91" s="21"/>
      <c r="J91" s="21" t="s">
        <v>76</v>
      </c>
      <c r="K91" s="21"/>
    </row>
    <row r="92" spans="2:11" ht="15.75" x14ac:dyDescent="0.25">
      <c r="B92" s="21" t="s">
        <v>77</v>
      </c>
      <c r="C92" s="21"/>
      <c r="D92" s="21"/>
      <c r="E92" s="21"/>
      <c r="F92" s="21"/>
      <c r="G92" s="21"/>
      <c r="H92" s="21"/>
      <c r="I92" s="21"/>
      <c r="J92" s="21"/>
      <c r="K92" s="21"/>
    </row>
    <row r="93" spans="2:11" ht="18.75" x14ac:dyDescent="0.35">
      <c r="B93" s="21" t="s">
        <v>78</v>
      </c>
      <c r="D93" s="21"/>
      <c r="E93" s="21"/>
      <c r="F93" s="21"/>
      <c r="G93" s="21"/>
      <c r="H93" s="21"/>
      <c r="I93" s="21"/>
      <c r="J93" s="21"/>
      <c r="K93" s="21"/>
    </row>
    <row r="94" spans="2:11" x14ac:dyDescent="0.25">
      <c r="B94" s="1" t="s">
        <v>79</v>
      </c>
    </row>
    <row r="95" spans="2:11" x14ac:dyDescent="0.25">
      <c r="B95" s="1" t="s">
        <v>80</v>
      </c>
    </row>
    <row r="97" spans="1:2" x14ac:dyDescent="0.25">
      <c r="A97" s="4" t="s">
        <v>81</v>
      </c>
    </row>
    <row r="98" spans="1:2" x14ac:dyDescent="0.25">
      <c r="B98" t="s">
        <v>82</v>
      </c>
    </row>
    <row r="99" spans="1:2" x14ac:dyDescent="0.25">
      <c r="B99" s="1" t="s">
        <v>83</v>
      </c>
    </row>
    <row r="101" spans="1:2" x14ac:dyDescent="0.25">
      <c r="A101" s="22"/>
    </row>
    <row r="102" spans="1:2" x14ac:dyDescent="0.25">
      <c r="A102" s="4" t="s">
        <v>84</v>
      </c>
    </row>
    <row r="103" spans="1:2" x14ac:dyDescent="0.25">
      <c r="B103" t="s">
        <v>85</v>
      </c>
    </row>
    <row r="104" spans="1:2" x14ac:dyDescent="0.25">
      <c r="A104" s="22"/>
      <c r="B104" s="12" t="s">
        <v>86</v>
      </c>
    </row>
    <row r="105" spans="1:2" x14ac:dyDescent="0.25">
      <c r="A105" s="22"/>
      <c r="B105" s="12" t="s">
        <v>87</v>
      </c>
    </row>
    <row r="107" spans="1:2" x14ac:dyDescent="0.25">
      <c r="A107" s="8" t="s">
        <v>88</v>
      </c>
    </row>
    <row r="108" spans="1:2" x14ac:dyDescent="0.25">
      <c r="A108" s="1" t="s">
        <v>89</v>
      </c>
    </row>
    <row r="109" spans="1:2" x14ac:dyDescent="0.25">
      <c r="A109" s="1" t="s">
        <v>90</v>
      </c>
    </row>
    <row r="110" spans="1:2" ht="6.75" customHeight="1" x14ac:dyDescent="0.25"/>
    <row r="111" spans="1:2" s="10" customFormat="1" x14ac:dyDescent="0.25">
      <c r="A111" s="23" t="s">
        <v>91</v>
      </c>
    </row>
    <row r="112" spans="1:2" s="10" customFormat="1" x14ac:dyDescent="0.25">
      <c r="A112" s="24" t="s">
        <v>92</v>
      </c>
    </row>
    <row r="113" spans="1:18" s="10" customFormat="1" x14ac:dyDescent="0.25">
      <c r="A113" s="25" t="s">
        <v>93</v>
      </c>
    </row>
    <row r="114" spans="1:18" s="10" customFormat="1" x14ac:dyDescent="0.25">
      <c r="A114" s="25"/>
      <c r="B114" s="26" t="s">
        <v>94</v>
      </c>
    </row>
    <row r="115" spans="1:18" s="10" customFormat="1" ht="20.25" customHeight="1" x14ac:dyDescent="0.25">
      <c r="A115" s="23" t="s">
        <v>95</v>
      </c>
      <c r="R115" s="27" t="s">
        <v>96</v>
      </c>
    </row>
    <row r="116" spans="1:18" s="10" customFormat="1" x14ac:dyDescent="0.25">
      <c r="A116" s="25" t="s">
        <v>97</v>
      </c>
    </row>
    <row r="117" spans="1:18" x14ac:dyDescent="0.25">
      <c r="A117" s="9"/>
      <c r="B117" s="10"/>
      <c r="C117" s="10"/>
      <c r="D117" s="10"/>
      <c r="E117" s="10"/>
      <c r="F117" s="10"/>
      <c r="G117" s="10"/>
      <c r="H117" s="10"/>
      <c r="I117" s="10"/>
      <c r="J117" s="10"/>
    </row>
    <row r="118" spans="1:18" x14ac:dyDescent="0.25">
      <c r="A118" s="9"/>
      <c r="B118" s="10"/>
      <c r="C118" s="10"/>
      <c r="D118" s="10"/>
      <c r="E118" s="10"/>
      <c r="F118" s="10"/>
      <c r="G118" s="10"/>
      <c r="H118" s="10"/>
      <c r="I118" s="10"/>
      <c r="J118" s="10"/>
    </row>
    <row r="119" spans="1:18" x14ac:dyDescent="0.25">
      <c r="A119" s="23"/>
      <c r="B119" s="10"/>
      <c r="C119" s="10"/>
      <c r="D119" s="10"/>
      <c r="E119" s="10"/>
      <c r="F119" s="10"/>
      <c r="G119" s="10"/>
      <c r="H119" s="10"/>
      <c r="I119" s="10"/>
      <c r="J119" s="10"/>
    </row>
    <row r="120" spans="1:18" x14ac:dyDescent="0.25">
      <c r="D120" s="10"/>
    </row>
  </sheetData>
  <hyperlinks>
    <hyperlink ref="B32" r:id="rId1" display="http://www.eea.europa.eu/publications/european-community-greenhouse-gas-inventory-2009/"/>
    <hyperlink ref="B74" location="_ftn1" display="_ftn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Equation.3" shapeId="1025" r:id="rId5">
          <objectPr defaultSize="0" autoPict="0" r:id="rId6">
            <anchor moveWithCells="1" sizeWithCells="1">
              <from>
                <xdr:col>3</xdr:col>
                <xdr:colOff>0</xdr:colOff>
                <xdr:row>58</xdr:row>
                <xdr:rowOff>171450</xdr:rowOff>
              </from>
              <to>
                <xdr:col>5</xdr:col>
                <xdr:colOff>219075</xdr:colOff>
                <xdr:row>60</xdr:row>
                <xdr:rowOff>123825</xdr:rowOff>
              </to>
            </anchor>
          </objectPr>
        </oleObject>
      </mc:Choice>
      <mc:Fallback>
        <oleObject progId="Equation.3"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3"/>
  <sheetViews>
    <sheetView topLeftCell="A13" workbookViewId="0">
      <selection activeCell="P20" sqref="P20"/>
    </sheetView>
  </sheetViews>
  <sheetFormatPr defaultColWidth="11.42578125" defaultRowHeight="11.25" x14ac:dyDescent="0.2"/>
  <cols>
    <col min="1" max="1" width="49.85546875" style="31" customWidth="1"/>
    <col min="2" max="2" width="11" style="31" customWidth="1"/>
    <col min="3" max="3" width="7.85546875" style="31" customWidth="1"/>
    <col min="4" max="19" width="6.7109375" style="31" customWidth="1"/>
    <col min="20" max="21" width="7.85546875" style="31" customWidth="1"/>
    <col min="22" max="22" width="7.42578125" style="31" customWidth="1"/>
    <col min="23" max="23" width="4.42578125" style="31" customWidth="1"/>
    <col min="24" max="24" width="11.42578125" style="31" customWidth="1"/>
    <col min="25" max="25" width="6.85546875" style="31" customWidth="1"/>
    <col min="26" max="26" width="11.42578125" style="31" customWidth="1"/>
    <col min="27" max="27" width="9.7109375" style="31" customWidth="1"/>
    <col min="28" max="16384" width="11.42578125" style="31"/>
  </cols>
  <sheetData>
    <row r="1" spans="1:29" x14ac:dyDescent="0.2">
      <c r="A1" s="28" t="s">
        <v>98</v>
      </c>
      <c r="B1" s="29"/>
      <c r="C1" s="29"/>
      <c r="D1" s="30"/>
      <c r="E1" s="30"/>
      <c r="F1" s="30"/>
      <c r="G1" s="30"/>
      <c r="H1" s="30"/>
      <c r="I1" s="30"/>
      <c r="J1" s="30"/>
      <c r="K1" s="30"/>
      <c r="L1" s="30"/>
      <c r="M1" s="30"/>
      <c r="N1" s="30"/>
      <c r="O1" s="30"/>
      <c r="P1" s="30"/>
      <c r="Q1" s="30"/>
      <c r="R1" s="30"/>
      <c r="S1" s="30"/>
      <c r="T1" s="30"/>
      <c r="U1" s="30"/>
      <c r="V1" s="30"/>
      <c r="W1" s="30"/>
    </row>
    <row r="2" spans="1:29" x14ac:dyDescent="0.2">
      <c r="D2" s="31">
        <v>1990</v>
      </c>
      <c r="E2" s="31">
        <v>1991</v>
      </c>
      <c r="F2" s="31">
        <v>1992</v>
      </c>
      <c r="G2" s="31">
        <v>1993</v>
      </c>
      <c r="H2" s="31">
        <v>1994</v>
      </c>
      <c r="I2" s="31">
        <v>1995</v>
      </c>
      <c r="J2" s="31">
        <v>1996</v>
      </c>
      <c r="K2" s="31">
        <v>1997</v>
      </c>
      <c r="L2" s="31">
        <v>1998</v>
      </c>
      <c r="M2" s="31">
        <v>1999</v>
      </c>
      <c r="N2" s="31">
        <v>2000</v>
      </c>
      <c r="O2" s="31">
        <v>2001</v>
      </c>
      <c r="P2" s="31">
        <v>2002</v>
      </c>
      <c r="Q2" s="31">
        <v>2003</v>
      </c>
      <c r="R2" s="31">
        <v>2004</v>
      </c>
      <c r="S2" s="31">
        <v>2005</v>
      </c>
      <c r="T2" s="31">
        <v>2006</v>
      </c>
      <c r="U2" s="31">
        <v>2007</v>
      </c>
      <c r="V2" s="31">
        <v>2008</v>
      </c>
    </row>
    <row r="3" spans="1:29" x14ac:dyDescent="0.2">
      <c r="A3" s="31" t="s">
        <v>99</v>
      </c>
      <c r="B3" s="31" t="s">
        <v>100</v>
      </c>
      <c r="C3" s="31" t="s">
        <v>101</v>
      </c>
      <c r="D3" s="31">
        <v>100</v>
      </c>
      <c r="E3" s="32">
        <v>99.813282138713618</v>
      </c>
      <c r="F3" s="32">
        <v>99.32375123005589</v>
      </c>
      <c r="G3" s="32">
        <v>98.50022956691322</v>
      </c>
      <c r="H3" s="32">
        <v>97.238516373156628</v>
      </c>
      <c r="I3" s="32">
        <v>95.992033216486263</v>
      </c>
      <c r="J3" s="32">
        <v>95.228930702249841</v>
      </c>
      <c r="K3" s="32">
        <v>94.747457613113284</v>
      </c>
      <c r="L3" s="32">
        <v>94.044436562340692</v>
      </c>
      <c r="M3" s="32">
        <v>92.847944811405341</v>
      </c>
      <c r="N3" s="32">
        <v>91.723809273634217</v>
      </c>
      <c r="O3" s="32">
        <v>90.611280689949112</v>
      </c>
      <c r="P3" s="32">
        <v>90.121384941213122</v>
      </c>
      <c r="Q3" s="32">
        <v>89.240068522659669</v>
      </c>
      <c r="R3" s="32">
        <v>88.176929110161879</v>
      </c>
      <c r="S3" s="32">
        <v>86.849767935250085</v>
      </c>
      <c r="T3" s="32">
        <v>85.822399794042823</v>
      </c>
      <c r="U3" s="32">
        <v>84.988223987703307</v>
      </c>
      <c r="V3" s="33">
        <v>84.569313120784599</v>
      </c>
      <c r="W3" s="32"/>
      <c r="X3" s="31" t="s">
        <v>102</v>
      </c>
      <c r="Z3" s="34">
        <f>((V3/D3)^(1/18))-1</f>
        <v>-9.2678261752997537E-3</v>
      </c>
    </row>
    <row r="4" spans="1:29" x14ac:dyDescent="0.2">
      <c r="A4" s="31" t="s">
        <v>103</v>
      </c>
      <c r="B4" s="31" t="s">
        <v>100</v>
      </c>
      <c r="C4" s="31" t="s">
        <v>104</v>
      </c>
      <c r="D4" s="31">
        <v>100</v>
      </c>
      <c r="E4" s="32">
        <v>99.316944791574514</v>
      </c>
      <c r="F4" s="32">
        <v>98.292683328633288</v>
      </c>
      <c r="G4" s="32">
        <v>97.664199961423606</v>
      </c>
      <c r="H4" s="32">
        <v>96.873848676680453</v>
      </c>
      <c r="I4" s="32">
        <v>96.027409681109077</v>
      </c>
      <c r="J4" s="32">
        <v>95.780253564288117</v>
      </c>
      <c r="K4" s="32">
        <v>95.494822853719526</v>
      </c>
      <c r="L4" s="32">
        <v>95.156142240108977</v>
      </c>
      <c r="M4" s="32">
        <v>94.054884753183728</v>
      </c>
      <c r="N4" s="32">
        <v>92.910968651815097</v>
      </c>
      <c r="O4" s="32">
        <v>91.723406220627524</v>
      </c>
      <c r="P4" s="32">
        <v>90.707238657600726</v>
      </c>
      <c r="Q4" s="32">
        <v>89.752715512207217</v>
      </c>
      <c r="R4" s="32">
        <v>88.639546804683334</v>
      </c>
      <c r="S4" s="32">
        <v>87.58396941707673</v>
      </c>
      <c r="T4" s="32">
        <v>86.543544874678105</v>
      </c>
      <c r="U4" s="32">
        <v>85.3289880134557</v>
      </c>
      <c r="V4" s="32">
        <v>84.749500110992969</v>
      </c>
      <c r="W4" s="32"/>
      <c r="X4" s="31" t="s">
        <v>102</v>
      </c>
    </row>
    <row r="5" spans="1:29" x14ac:dyDescent="0.2">
      <c r="A5" s="31" t="s">
        <v>105</v>
      </c>
      <c r="B5" s="31" t="s">
        <v>100</v>
      </c>
      <c r="C5" s="31" t="s">
        <v>106</v>
      </c>
      <c r="D5" s="31">
        <v>100</v>
      </c>
      <c r="E5" s="32">
        <v>100.32857312843134</v>
      </c>
      <c r="F5" s="32">
        <v>100.70547776622733</v>
      </c>
      <c r="G5" s="32">
        <v>100.06929725145612</v>
      </c>
      <c r="H5" s="32">
        <v>98.346815049963539</v>
      </c>
      <c r="I5" s="32">
        <v>96.801429697227334</v>
      </c>
      <c r="J5" s="32">
        <v>95.659771716582995</v>
      </c>
      <c r="K5" s="32">
        <v>95.136445141204376</v>
      </c>
      <c r="L5" s="32">
        <v>94.266186467921386</v>
      </c>
      <c r="M5" s="32">
        <v>92.991256281248909</v>
      </c>
      <c r="N5" s="32">
        <v>92.253500185561691</v>
      </c>
      <c r="O5" s="32">
        <v>91.564266921733761</v>
      </c>
      <c r="P5" s="32">
        <v>91.989684375968253</v>
      </c>
      <c r="Q5" s="32">
        <v>91.324944615739369</v>
      </c>
      <c r="R5" s="32">
        <v>90.432210797138566</v>
      </c>
      <c r="S5" s="32">
        <v>88.958875534008641</v>
      </c>
      <c r="T5" s="32">
        <v>88.566944911130236</v>
      </c>
      <c r="U5" s="32">
        <v>88.678193001521322</v>
      </c>
      <c r="V5" s="32">
        <v>88.839746110325905</v>
      </c>
      <c r="W5" s="32"/>
      <c r="X5" s="31" t="s">
        <v>102</v>
      </c>
    </row>
    <row r="6" spans="1:29" x14ac:dyDescent="0.2">
      <c r="A6" s="31" t="s">
        <v>107</v>
      </c>
      <c r="B6" s="31" t="s">
        <v>100</v>
      </c>
      <c r="C6" s="31" t="s">
        <v>108</v>
      </c>
      <c r="D6" s="31">
        <v>100</v>
      </c>
      <c r="E6" s="32">
        <v>99.422910720461203</v>
      </c>
      <c r="F6" s="32">
        <v>94.79447227847082</v>
      </c>
      <c r="G6" s="32">
        <v>91.340879827366663</v>
      </c>
      <c r="H6" s="32">
        <v>89.162577939758009</v>
      </c>
      <c r="I6" s="32">
        <v>86.73007547444405</v>
      </c>
      <c r="J6" s="32">
        <v>84.833031324781686</v>
      </c>
      <c r="K6" s="32">
        <v>83.632201497137729</v>
      </c>
      <c r="L6" s="32">
        <v>82.59954737760296</v>
      </c>
      <c r="M6" s="32">
        <v>81.886465647130279</v>
      </c>
      <c r="N6" s="32">
        <v>81.066041958255482</v>
      </c>
      <c r="O6" s="32">
        <v>80.21256908890966</v>
      </c>
      <c r="P6" s="32">
        <v>79.484741161169268</v>
      </c>
      <c r="Q6" s="32">
        <v>78.271537974598843</v>
      </c>
      <c r="R6" s="32">
        <v>76.874428950211737</v>
      </c>
      <c r="S6" s="32">
        <v>75.154587240436683</v>
      </c>
      <c r="T6" s="32">
        <v>73.244418215450835</v>
      </c>
      <c r="U6" s="32">
        <v>71.973392354516946</v>
      </c>
      <c r="V6" s="32">
        <v>71.304259764446172</v>
      </c>
      <c r="W6" s="32"/>
      <c r="X6" s="31" t="s">
        <v>102</v>
      </c>
    </row>
    <row r="7" spans="1:29" x14ac:dyDescent="0.2">
      <c r="A7" s="35" t="s">
        <v>109</v>
      </c>
      <c r="B7" s="31" t="s">
        <v>100</v>
      </c>
      <c r="C7" s="31" t="s">
        <v>110</v>
      </c>
      <c r="D7" s="31">
        <v>100</v>
      </c>
      <c r="E7" s="32">
        <v>102.94654704192408</v>
      </c>
      <c r="F7" s="32">
        <v>115.10599720595428</v>
      </c>
      <c r="G7" s="32">
        <v>119.72373488761603</v>
      </c>
      <c r="H7" s="32">
        <v>119.88207413402426</v>
      </c>
      <c r="I7" s="32">
        <v>118.99711276954781</v>
      </c>
      <c r="J7" s="32">
        <v>117.78026819229312</v>
      </c>
      <c r="K7" s="32">
        <v>117.87796116129071</v>
      </c>
      <c r="L7" s="32">
        <v>116.70886048890141</v>
      </c>
      <c r="M7" s="32">
        <v>115.79149938306068</v>
      </c>
      <c r="N7" s="32">
        <v>113.98137488130079</v>
      </c>
      <c r="O7" s="32">
        <v>113.08897743337998</v>
      </c>
      <c r="P7" s="32">
        <v>113.07955370689531</v>
      </c>
      <c r="Q7" s="32">
        <v>112.49580882775281</v>
      </c>
      <c r="R7" s="32">
        <v>110.82507838206625</v>
      </c>
      <c r="S7" s="32">
        <v>106.26662432303861</v>
      </c>
      <c r="T7" s="32">
        <v>102.3857166390727</v>
      </c>
      <c r="U7" s="32">
        <v>99.503469276501434</v>
      </c>
      <c r="V7" s="32">
        <v>99.435175553247007</v>
      </c>
      <c r="W7" s="32"/>
      <c r="X7" s="31" t="s">
        <v>102</v>
      </c>
    </row>
    <row r="9" spans="1:29" s="30" customFormat="1" x14ac:dyDescent="0.2"/>
    <row r="10" spans="1:29" s="30" customFormat="1" x14ac:dyDescent="0.2">
      <c r="A10" s="36" t="s">
        <v>111</v>
      </c>
      <c r="B10" s="37"/>
      <c r="C10" s="37"/>
      <c r="AA10" s="38" t="s">
        <v>112</v>
      </c>
      <c r="AB10" s="39" t="s">
        <v>113</v>
      </c>
      <c r="AC10" s="40"/>
    </row>
    <row r="11" spans="1:29" s="30" customFormat="1" x14ac:dyDescent="0.2">
      <c r="A11" s="41" t="s">
        <v>114</v>
      </c>
      <c r="D11" s="30">
        <v>1990</v>
      </c>
      <c r="E11" s="30">
        <v>1991</v>
      </c>
      <c r="F11" s="30">
        <v>1992</v>
      </c>
      <c r="G11" s="30">
        <v>1993</v>
      </c>
      <c r="H11" s="30">
        <v>1994</v>
      </c>
      <c r="I11" s="30">
        <v>1995</v>
      </c>
      <c r="J11" s="30">
        <v>1996</v>
      </c>
      <c r="K11" s="30">
        <v>1997</v>
      </c>
      <c r="L11" s="30">
        <v>1998</v>
      </c>
      <c r="M11" s="30">
        <v>1999</v>
      </c>
      <c r="N11" s="30">
        <v>2000</v>
      </c>
      <c r="O11" s="30">
        <v>2001</v>
      </c>
      <c r="P11" s="30">
        <v>2002</v>
      </c>
      <c r="Q11" s="30">
        <v>2003</v>
      </c>
      <c r="R11" s="30">
        <v>2004</v>
      </c>
      <c r="S11" s="30">
        <v>2005</v>
      </c>
      <c r="T11" s="30">
        <v>2006</v>
      </c>
      <c r="U11" s="30">
        <v>2007</v>
      </c>
      <c r="V11" s="30">
        <v>2008</v>
      </c>
      <c r="Y11" s="30" t="s">
        <v>115</v>
      </c>
      <c r="AA11" s="42"/>
      <c r="AB11" s="43" t="s">
        <v>116</v>
      </c>
      <c r="AC11" s="43" t="s">
        <v>117</v>
      </c>
    </row>
    <row r="12" spans="1:29" x14ac:dyDescent="0.2">
      <c r="A12" s="44" t="s">
        <v>118</v>
      </c>
      <c r="B12" s="31" t="s">
        <v>119</v>
      </c>
      <c r="C12" s="31" t="s">
        <v>101</v>
      </c>
      <c r="D12" s="32">
        <v>141.76929317032776</v>
      </c>
      <c r="E12" s="32">
        <v>147.27310068520629</v>
      </c>
      <c r="F12" s="32">
        <v>152.16866525406937</v>
      </c>
      <c r="G12" s="32">
        <v>153.75376850014604</v>
      </c>
      <c r="H12" s="32">
        <v>154.19432614151276</v>
      </c>
      <c r="I12" s="32">
        <v>156.85009247763799</v>
      </c>
      <c r="J12" s="32">
        <v>159.77984324348412</v>
      </c>
      <c r="K12" s="32">
        <v>161.768405851745</v>
      </c>
      <c r="L12" s="32">
        <v>164.3284898961044</v>
      </c>
      <c r="M12" s="32">
        <v>167.38812400723651</v>
      </c>
      <c r="N12" s="32">
        <v>164.98091362446144</v>
      </c>
      <c r="O12" s="32">
        <v>167.30188927902043</v>
      </c>
      <c r="P12" s="32">
        <v>169.20740504136162</v>
      </c>
      <c r="Q12" s="32">
        <v>169.42196602831288</v>
      </c>
      <c r="R12" s="32">
        <v>171.83737877614368</v>
      </c>
      <c r="S12" s="32">
        <v>170.666877023654</v>
      </c>
      <c r="T12" s="32">
        <v>171.17180965876233</v>
      </c>
      <c r="U12" s="32">
        <v>172.41441101786992</v>
      </c>
      <c r="V12" s="32">
        <v>171.5422800682847</v>
      </c>
      <c r="W12" s="32"/>
      <c r="X12" s="31" t="s">
        <v>102</v>
      </c>
      <c r="Y12" s="45">
        <f>V12/$V$19</f>
        <v>0.47025927154874037</v>
      </c>
      <c r="AA12" s="46">
        <f>((V12/D12)^(1/18))-1</f>
        <v>1.0646762504085361E-2</v>
      </c>
      <c r="AB12" s="47">
        <f t="shared" ref="AB12:AB18" si="0">((N12/D12)^(1/10))-1</f>
        <v>1.5278414808112206E-2</v>
      </c>
      <c r="AC12" s="47">
        <f>((V12/N12)^(1/8))-1</f>
        <v>4.8868990086434749E-3</v>
      </c>
    </row>
    <row r="13" spans="1:29" x14ac:dyDescent="0.2">
      <c r="A13" s="30" t="s">
        <v>120</v>
      </c>
      <c r="B13" s="31" t="s">
        <v>119</v>
      </c>
      <c r="C13" s="31" t="s">
        <v>101</v>
      </c>
      <c r="D13" s="32">
        <v>2.1267750247551747</v>
      </c>
      <c r="E13" s="32">
        <v>2.1760549725191423</v>
      </c>
      <c r="F13" s="32">
        <v>2.2123470074754357</v>
      </c>
      <c r="G13" s="32">
        <v>2.2631907729944687</v>
      </c>
      <c r="H13" s="32">
        <v>2.2666217132833748</v>
      </c>
      <c r="I13" s="32">
        <v>2.4736081620129311</v>
      </c>
      <c r="J13" s="32">
        <v>2.6258129973173316</v>
      </c>
      <c r="K13" s="32">
        <v>2.7182356463499326</v>
      </c>
      <c r="L13" s="32">
        <v>2.8854525479564948</v>
      </c>
      <c r="M13" s="32">
        <v>3.0657428764464396</v>
      </c>
      <c r="N13" s="32">
        <v>3.1252023163209164</v>
      </c>
      <c r="O13" s="32">
        <v>3.2107559271124217</v>
      </c>
      <c r="P13" s="32">
        <v>3.2022955005050355</v>
      </c>
      <c r="Q13" s="32">
        <v>3.3265179807196801</v>
      </c>
      <c r="R13" s="32">
        <v>3.3883069399164376</v>
      </c>
      <c r="S13" s="32">
        <v>3.5182013038213866</v>
      </c>
      <c r="T13" s="32">
        <v>3.5962053955681239</v>
      </c>
      <c r="U13" s="32">
        <v>3.6485159974534462</v>
      </c>
      <c r="V13" s="32">
        <v>3.691148709417885</v>
      </c>
      <c r="W13" s="32"/>
      <c r="X13" s="31" t="s">
        <v>102</v>
      </c>
      <c r="Y13" s="45">
        <f t="shared" ref="Y13:Y18" si="1">V13/$V$19</f>
        <v>1.0118770151463362E-2</v>
      </c>
      <c r="AA13" s="46">
        <f t="shared" ref="AA13:AA18" si="2">((V13/D13)^(1/18))-1</f>
        <v>3.1103406631218578E-2</v>
      </c>
      <c r="AB13" s="47">
        <f t="shared" si="0"/>
        <v>3.9239531826682716E-2</v>
      </c>
      <c r="AC13" s="47">
        <f t="shared" ref="AC13:AC18" si="3">((V13/N13)^(1/8))-1</f>
        <v>2.1022765643597952E-2</v>
      </c>
    </row>
    <row r="14" spans="1:29" ht="15" x14ac:dyDescent="0.25">
      <c r="A14" s="30" t="s">
        <v>121</v>
      </c>
      <c r="B14" s="31" t="s">
        <v>119</v>
      </c>
      <c r="C14" s="31" t="s">
        <v>101</v>
      </c>
      <c r="D14" s="32">
        <v>6.9742695086267332</v>
      </c>
      <c r="E14" s="32">
        <v>6.9484139939767635</v>
      </c>
      <c r="F14" s="32">
        <v>7.0020001091049107</v>
      </c>
      <c r="G14" s="32">
        <v>6.9705858622102115</v>
      </c>
      <c r="H14" s="32">
        <v>6.9530256747795143</v>
      </c>
      <c r="I14" s="32">
        <v>6.90237333176416</v>
      </c>
      <c r="J14" s="32">
        <v>6.784644022199374</v>
      </c>
      <c r="K14" s="32">
        <v>6.7610078718290207</v>
      </c>
      <c r="L14" s="32">
        <v>6.7155990554015066</v>
      </c>
      <c r="M14" s="32">
        <v>6.2975125688475062</v>
      </c>
      <c r="N14" s="32">
        <v>6.3527250425094026</v>
      </c>
      <c r="O14" s="32">
        <v>6.219924628665896</v>
      </c>
      <c r="P14" s="32">
        <v>6.161961932695128</v>
      </c>
      <c r="Q14" s="32">
        <v>6.2470290332588361</v>
      </c>
      <c r="R14" s="32">
        <v>6.227038845026323</v>
      </c>
      <c r="S14" s="32">
        <v>6.1918494921449128</v>
      </c>
      <c r="T14" s="32">
        <v>6.3507522784767252</v>
      </c>
      <c r="U14" s="32">
        <v>6.4087873931084278</v>
      </c>
      <c r="V14" s="32">
        <v>6.5124196713757438</v>
      </c>
      <c r="W14" s="32"/>
      <c r="X14" s="31" t="s">
        <v>102</v>
      </c>
      <c r="Y14" s="45">
        <f t="shared" si="1"/>
        <v>1.7852891598862771E-2</v>
      </c>
      <c r="AA14" s="46">
        <f t="shared" si="2"/>
        <v>-3.799237886226936E-3</v>
      </c>
      <c r="AB14" s="47">
        <f t="shared" si="0"/>
        <v>-9.2909430626738621E-3</v>
      </c>
      <c r="AC14" s="47">
        <f t="shared" si="3"/>
        <v>3.1082219193436789E-3</v>
      </c>
    </row>
    <row r="15" spans="1:29" x14ac:dyDescent="0.2">
      <c r="A15" s="30" t="s">
        <v>122</v>
      </c>
      <c r="B15" s="31" t="s">
        <v>119</v>
      </c>
      <c r="C15" s="31" t="s">
        <v>101</v>
      </c>
      <c r="D15" s="32">
        <v>76.109733843309158</v>
      </c>
      <c r="E15" s="32">
        <v>77.049022549187768</v>
      </c>
      <c r="F15" s="32">
        <v>78.576155591146446</v>
      </c>
      <c r="G15" s="32">
        <v>78.451523396430119</v>
      </c>
      <c r="H15" s="32">
        <v>81.872142512721297</v>
      </c>
      <c r="I15" s="32">
        <v>83.596527528374423</v>
      </c>
      <c r="J15" s="32">
        <v>84.884640054512531</v>
      </c>
      <c r="K15" s="32">
        <v>87.514351157209106</v>
      </c>
      <c r="L15" s="32">
        <v>90.330047199324383</v>
      </c>
      <c r="M15" s="32">
        <v>93.247357997714516</v>
      </c>
      <c r="N15" s="32">
        <v>94.553766774664965</v>
      </c>
      <c r="O15" s="32">
        <v>97.330570345592932</v>
      </c>
      <c r="P15" s="32">
        <v>99.961811580374118</v>
      </c>
      <c r="Q15" s="32">
        <v>102.91825558331122</v>
      </c>
      <c r="R15" s="32">
        <v>107.44605381216637</v>
      </c>
      <c r="S15" s="32">
        <v>109.76329710005368</v>
      </c>
      <c r="T15" s="32">
        <v>113.9593276446859</v>
      </c>
      <c r="U15" s="32">
        <v>119.28704436125429</v>
      </c>
      <c r="V15" s="32">
        <v>113.14749705010037</v>
      </c>
      <c r="W15" s="32"/>
      <c r="X15" s="31" t="s">
        <v>102</v>
      </c>
      <c r="Y15" s="45">
        <f t="shared" si="1"/>
        <v>0.31017810605736984</v>
      </c>
      <c r="AA15" s="46">
        <f>((V15/D15)^(1/18))-1</f>
        <v>2.2273094092313706E-2</v>
      </c>
      <c r="AB15" s="47">
        <f t="shared" si="0"/>
        <v>2.1936387609564179E-2</v>
      </c>
      <c r="AC15" s="47">
        <f t="shared" si="3"/>
        <v>2.269413320615099E-2</v>
      </c>
    </row>
    <row r="16" spans="1:29" s="48" customFormat="1" x14ac:dyDescent="0.2">
      <c r="A16" s="41" t="s">
        <v>123</v>
      </c>
      <c r="B16" s="48" t="s">
        <v>119</v>
      </c>
      <c r="C16" s="48" t="s">
        <v>101</v>
      </c>
      <c r="D16" s="49">
        <v>29.038</v>
      </c>
      <c r="E16" s="49">
        <v>28.966999999999999</v>
      </c>
      <c r="F16" s="49">
        <v>30.303000000000001</v>
      </c>
      <c r="G16" s="49">
        <v>31.606999999999999</v>
      </c>
      <c r="H16" s="49">
        <v>32.784999999999997</v>
      </c>
      <c r="I16" s="49">
        <v>34.112000000000002</v>
      </c>
      <c r="J16" s="49">
        <v>35.582000000000001</v>
      </c>
      <c r="K16" s="49">
        <v>37.420999999999999</v>
      </c>
      <c r="L16" s="49">
        <v>40.54</v>
      </c>
      <c r="M16" s="49">
        <v>43.07</v>
      </c>
      <c r="N16" s="49">
        <v>45.395000000000003</v>
      </c>
      <c r="O16" s="49">
        <v>44.101999999999997</v>
      </c>
      <c r="P16" s="49">
        <v>43.604999999999997</v>
      </c>
      <c r="Q16" s="49">
        <v>44.853000000000002</v>
      </c>
      <c r="R16" s="49">
        <v>47.738</v>
      </c>
      <c r="S16" s="49">
        <v>50.045000000000002</v>
      </c>
      <c r="T16" s="49">
        <v>51.719000000000001</v>
      </c>
      <c r="U16" s="50">
        <v>53.277000000000001</v>
      </c>
      <c r="V16" s="49">
        <v>54.088999999999999</v>
      </c>
      <c r="W16" s="49"/>
      <c r="X16" s="31" t="s">
        <v>124</v>
      </c>
      <c r="Y16" s="51">
        <f t="shared" si="1"/>
        <v>0.14827746097740296</v>
      </c>
      <c r="AA16" s="46">
        <f t="shared" si="2"/>
        <v>3.5161003323354256E-2</v>
      </c>
      <c r="AB16" s="52">
        <f>((N16/D16)^(1/10))-1</f>
        <v>4.5692834212438083E-2</v>
      </c>
      <c r="AC16" s="52">
        <f t="shared" si="3"/>
        <v>2.2145254014223736E-2</v>
      </c>
    </row>
    <row r="17" spans="1:29" s="48" customFormat="1" x14ac:dyDescent="0.2">
      <c r="A17" s="41" t="s">
        <v>125</v>
      </c>
      <c r="B17" s="48" t="s">
        <v>119</v>
      </c>
      <c r="C17" s="48" t="s">
        <v>101</v>
      </c>
      <c r="D17" s="49">
        <v>7.18</v>
      </c>
      <c r="E17" s="49">
        <v>7.45</v>
      </c>
      <c r="F17" s="49">
        <v>7.5679999999999996</v>
      </c>
      <c r="G17" s="49">
        <v>7.2629999999999999</v>
      </c>
      <c r="H17" s="49">
        <v>7.2830000000000004</v>
      </c>
      <c r="I17" s="49">
        <v>6.98</v>
      </c>
      <c r="J17" s="49">
        <v>7.6150000000000002</v>
      </c>
      <c r="K17" s="49">
        <v>7.468</v>
      </c>
      <c r="L17" s="49">
        <v>7.3179999999999996</v>
      </c>
      <c r="M17" s="49">
        <v>7.4130000000000003</v>
      </c>
      <c r="N17" s="49">
        <v>6.5940000000000003</v>
      </c>
      <c r="O17" s="49">
        <v>6.1559999999999997</v>
      </c>
      <c r="P17" s="49">
        <v>6.181</v>
      </c>
      <c r="Q17" s="49">
        <v>6.49</v>
      </c>
      <c r="R17" s="49">
        <v>6.3319999999999999</v>
      </c>
      <c r="S17" s="49">
        <v>6.5049999999999999</v>
      </c>
      <c r="T17" s="49">
        <v>7.0940000000000003</v>
      </c>
      <c r="U17" s="49">
        <v>6.4669999999999996</v>
      </c>
      <c r="V17" s="49">
        <v>6.4790000000000001</v>
      </c>
      <c r="W17" s="49"/>
      <c r="X17" s="31" t="s">
        <v>124</v>
      </c>
      <c r="Y17" s="51">
        <f t="shared" si="1"/>
        <v>1.776127622386426E-2</v>
      </c>
      <c r="Z17" s="28">
        <f>+V17/D17-1</f>
        <v>-9.7632311977715824E-2</v>
      </c>
      <c r="AA17" s="52">
        <f>((V17/D17)^(1/18))-1</f>
        <v>-5.6911440432432236E-3</v>
      </c>
      <c r="AB17" s="47">
        <f t="shared" si="0"/>
        <v>-8.4777830309045177E-3</v>
      </c>
      <c r="AC17" s="47">
        <f t="shared" si="3"/>
        <v>-2.1968293283236573E-3</v>
      </c>
    </row>
    <row r="18" spans="1:29" s="48" customFormat="1" x14ac:dyDescent="0.2">
      <c r="A18" s="41" t="s">
        <v>126</v>
      </c>
      <c r="B18" s="48" t="s">
        <v>119</v>
      </c>
      <c r="C18" s="48" t="s">
        <v>101</v>
      </c>
      <c r="D18" s="49">
        <v>9.4529999999999994</v>
      </c>
      <c r="E18" s="49">
        <v>9.1620000000000008</v>
      </c>
      <c r="F18" s="49">
        <v>9.4949999999999992</v>
      </c>
      <c r="G18" s="49">
        <v>9.4329999999999998</v>
      </c>
      <c r="H18" s="49">
        <v>9.34</v>
      </c>
      <c r="I18" s="49">
        <v>9.4339999999999993</v>
      </c>
      <c r="J18" s="49">
        <v>9.6980000000000004</v>
      </c>
      <c r="K18" s="49">
        <v>9.6609999999999996</v>
      </c>
      <c r="L18" s="49">
        <v>9.5709999999999997</v>
      </c>
      <c r="M18" s="49">
        <v>9.4160000000000004</v>
      </c>
      <c r="N18" s="49">
        <v>9.5809999999999995</v>
      </c>
      <c r="O18" s="49">
        <v>9.2829999999999995</v>
      </c>
      <c r="P18" s="49">
        <v>9.2970000000000006</v>
      </c>
      <c r="Q18" s="49">
        <v>9.3580000000000005</v>
      </c>
      <c r="R18" s="49">
        <v>9.5310000000000006</v>
      </c>
      <c r="S18" s="49">
        <v>9.4149999999999991</v>
      </c>
      <c r="T18" s="49">
        <v>9.0630000000000006</v>
      </c>
      <c r="U18" s="49">
        <v>9.2149999999999999</v>
      </c>
      <c r="V18" s="49">
        <v>9.3209999999999997</v>
      </c>
      <c r="W18" s="49"/>
      <c r="X18" s="31" t="s">
        <v>124</v>
      </c>
      <c r="Y18" s="51">
        <f t="shared" si="1"/>
        <v>2.5552223442296459E-2</v>
      </c>
      <c r="Z18" s="28">
        <f>+V18/D18-1</f>
        <v>-1.3963821009203348E-2</v>
      </c>
      <c r="AA18" s="52">
        <f t="shared" si="2"/>
        <v>-7.8093004663348786E-4</v>
      </c>
      <c r="AB18" s="47">
        <f t="shared" si="0"/>
        <v>1.3458868163780391E-3</v>
      </c>
      <c r="AC18" s="47">
        <f t="shared" si="3"/>
        <v>-3.4330998389338063E-3</v>
      </c>
    </row>
    <row r="19" spans="1:29" x14ac:dyDescent="0.2">
      <c r="A19" s="31" t="s">
        <v>127</v>
      </c>
      <c r="B19" s="48" t="s">
        <v>119</v>
      </c>
      <c r="C19" s="48" t="s">
        <v>101</v>
      </c>
      <c r="D19" s="32">
        <f t="shared" ref="D19:U19" si="4">D12+D13+D14+D15+D16+D17+D18</f>
        <v>272.65107154701877</v>
      </c>
      <c r="E19" s="32">
        <f t="shared" si="4"/>
        <v>279.02559220088995</v>
      </c>
      <c r="F19" s="32">
        <f t="shared" si="4"/>
        <v>287.32516796179613</v>
      </c>
      <c r="G19" s="32">
        <f t="shared" si="4"/>
        <v>289.74206853178083</v>
      </c>
      <c r="H19" s="32">
        <f t="shared" si="4"/>
        <v>294.69411604229691</v>
      </c>
      <c r="I19" s="32">
        <f t="shared" si="4"/>
        <v>300.34860149978954</v>
      </c>
      <c r="J19" s="32">
        <f t="shared" si="4"/>
        <v>306.96994031751336</v>
      </c>
      <c r="K19" s="32">
        <f t="shared" si="4"/>
        <v>313.31200052713308</v>
      </c>
      <c r="L19" s="32">
        <f t="shared" si="4"/>
        <v>321.68858869878682</v>
      </c>
      <c r="M19" s="32">
        <f t="shared" si="4"/>
        <v>329.89773745024502</v>
      </c>
      <c r="N19" s="32">
        <f t="shared" si="4"/>
        <v>330.58260775795674</v>
      </c>
      <c r="O19" s="32">
        <f t="shared" si="4"/>
        <v>333.60414018039165</v>
      </c>
      <c r="P19" s="32">
        <f t="shared" si="4"/>
        <v>337.61647405493596</v>
      </c>
      <c r="Q19" s="32">
        <f t="shared" si="4"/>
        <v>342.61476862560261</v>
      </c>
      <c r="R19" s="32">
        <f t="shared" si="4"/>
        <v>352.49977837325281</v>
      </c>
      <c r="S19" s="32">
        <f t="shared" si="4"/>
        <v>356.10522491967401</v>
      </c>
      <c r="T19" s="32">
        <f t="shared" si="4"/>
        <v>362.95409497749307</v>
      </c>
      <c r="U19" s="32">
        <f t="shared" si="4"/>
        <v>370.71775876968604</v>
      </c>
      <c r="V19" s="32">
        <f>V12+V13+V14+V15+V16+V17+V18</f>
        <v>364.78234549917869</v>
      </c>
      <c r="W19" s="32"/>
      <c r="Y19" s="53">
        <f>Y18+Y17+Y16+Y15+Y14+Y13+Y12</f>
        <v>1</v>
      </c>
      <c r="AA19" s="52">
        <f>((V19/D19)^(1/18))-1</f>
        <v>1.6304152701963393E-2</v>
      </c>
      <c r="AB19" s="47">
        <f>((N19/D19)^(1/10))-1</f>
        <v>1.9453166681505651E-2</v>
      </c>
      <c r="AC19" s="47">
        <f>((V19/N19)^(1/8))-1</f>
        <v>1.2381560392134006E-2</v>
      </c>
    </row>
    <row r="20" spans="1:29" s="54" customFormat="1" x14ac:dyDescent="0.2">
      <c r="A20" s="54" t="s">
        <v>128</v>
      </c>
      <c r="B20" s="55" t="s">
        <v>129</v>
      </c>
      <c r="C20" s="55"/>
      <c r="D20" s="56">
        <f>(D12+D13+D14+D15)/D19</f>
        <v>0.83249286444809012</v>
      </c>
      <c r="E20" s="56">
        <f t="shared" ref="E20:V20" si="5">(E12+E13+E14+E15)/E19</f>
        <v>0.83664939247872128</v>
      </c>
      <c r="F20" s="56">
        <f t="shared" si="5"/>
        <v>0.83514844753767636</v>
      </c>
      <c r="G20" s="56">
        <f t="shared" si="5"/>
        <v>0.83328965571079372</v>
      </c>
      <c r="H20" s="56">
        <f t="shared" si="5"/>
        <v>0.8323414099217763</v>
      </c>
      <c r="I20" s="56">
        <f t="shared" si="5"/>
        <v>0.83177547773587535</v>
      </c>
      <c r="J20" s="56">
        <f t="shared" si="5"/>
        <v>0.82768671113110226</v>
      </c>
      <c r="K20" s="56">
        <f t="shared" si="5"/>
        <v>0.8258924014776895</v>
      </c>
      <c r="L20" s="56">
        <f t="shared" si="5"/>
        <v>0.82147641533603266</v>
      </c>
      <c r="M20" s="56">
        <f t="shared" si="5"/>
        <v>0.81843161319336444</v>
      </c>
      <c r="N20" s="56">
        <f t="shared" si="5"/>
        <v>0.81375305731425585</v>
      </c>
      <c r="O20" s="56">
        <f t="shared" si="5"/>
        <v>0.82152199919400259</v>
      </c>
      <c r="P20" s="56">
        <f t="shared" si="5"/>
        <v>0.82499965333330794</v>
      </c>
      <c r="Q20" s="56">
        <f t="shared" si="5"/>
        <v>0.82283017091323363</v>
      </c>
      <c r="R20" s="56">
        <f t="shared" si="5"/>
        <v>0.8195715177651699</v>
      </c>
      <c r="S20" s="56">
        <f t="shared" si="5"/>
        <v>0.81475980866363407</v>
      </c>
      <c r="T20" s="56">
        <f t="shared" si="5"/>
        <v>0.8129901248139686</v>
      </c>
      <c r="U20" s="56">
        <f t="shared" si="5"/>
        <v>0.8139851723617002</v>
      </c>
      <c r="V20" s="57">
        <f t="shared" si="5"/>
        <v>0.80840903935643627</v>
      </c>
      <c r="W20" s="58"/>
      <c r="Y20" s="59"/>
      <c r="AA20" s="60"/>
    </row>
    <row r="21" spans="1:29" x14ac:dyDescent="0.2">
      <c r="D21" s="61">
        <f>+D12/D19</f>
        <v>0.51996602238139233</v>
      </c>
      <c r="E21" s="62">
        <f t="shared" ref="E21:V21" si="6">+E12/E19</f>
        <v>0.52781216061060854</v>
      </c>
      <c r="F21" s="62">
        <f t="shared" si="6"/>
        <v>0.52960437240326375</v>
      </c>
      <c r="G21" s="62">
        <f t="shared" si="6"/>
        <v>0.53065738530572171</v>
      </c>
      <c r="H21" s="62">
        <f t="shared" si="6"/>
        <v>0.52323517080124371</v>
      </c>
      <c r="I21" s="62">
        <f t="shared" si="6"/>
        <v>0.52222681142648131</v>
      </c>
      <c r="J21" s="62">
        <f t="shared" si="6"/>
        <v>0.52050648046586045</v>
      </c>
      <c r="K21" s="62">
        <f t="shared" si="6"/>
        <v>0.51631729898496415</v>
      </c>
      <c r="L21" s="62">
        <f t="shared" si="6"/>
        <v>0.51083095785524868</v>
      </c>
      <c r="M21" s="62">
        <f t="shared" si="6"/>
        <v>0.5073939739658927</v>
      </c>
      <c r="N21" s="62">
        <f t="shared" si="6"/>
        <v>0.49906108111185271</v>
      </c>
      <c r="O21" s="62">
        <f t="shared" si="6"/>
        <v>0.5014982403652255</v>
      </c>
      <c r="P21" s="62">
        <f t="shared" si="6"/>
        <v>0.5011823120154637</v>
      </c>
      <c r="Q21" s="62">
        <f t="shared" si="6"/>
        <v>0.4944969731104944</v>
      </c>
      <c r="R21" s="62">
        <f t="shared" si="6"/>
        <v>0.48748223209998609</v>
      </c>
      <c r="S21" s="62">
        <f t="shared" si="6"/>
        <v>0.47925968247770306</v>
      </c>
      <c r="T21" s="62">
        <f t="shared" si="6"/>
        <v>0.47160732452784909</v>
      </c>
      <c r="U21" s="62">
        <f t="shared" si="6"/>
        <v>0.46508268605762954</v>
      </c>
      <c r="V21" s="61">
        <f t="shared" si="6"/>
        <v>0.47025927154874037</v>
      </c>
      <c r="AA21" s="63"/>
    </row>
    <row r="22" spans="1:29" s="67" customFormat="1" x14ac:dyDescent="0.2">
      <c r="A22" s="64" t="s">
        <v>130</v>
      </c>
      <c r="B22" s="65"/>
      <c r="C22" s="65"/>
      <c r="D22" s="61">
        <f>+D15/D19</f>
        <v>0.27914701897727184</v>
      </c>
      <c r="E22" s="62">
        <f t="shared" ref="E22:V22" si="7">+E15/E19</f>
        <v>0.27613604164923627</v>
      </c>
      <c r="F22" s="62">
        <f t="shared" si="7"/>
        <v>0.27347467034838463</v>
      </c>
      <c r="G22" s="62">
        <f t="shared" si="7"/>
        <v>0.27076331646961038</v>
      </c>
      <c r="H22" s="62">
        <f t="shared" si="7"/>
        <v>0.27782075737464107</v>
      </c>
      <c r="I22" s="62">
        <f t="shared" si="7"/>
        <v>0.27833166897044131</v>
      </c>
      <c r="J22" s="62">
        <f t="shared" si="7"/>
        <v>0.2765242745485515</v>
      </c>
      <c r="K22" s="62">
        <f t="shared" si="7"/>
        <v>0.27932013778588188</v>
      </c>
      <c r="L22" s="62">
        <f t="shared" si="7"/>
        <v>0.28079966269460971</v>
      </c>
      <c r="M22" s="62">
        <f t="shared" si="7"/>
        <v>0.28265534258711922</v>
      </c>
      <c r="N22" s="62">
        <f t="shared" si="7"/>
        <v>0.28602160112396041</v>
      </c>
      <c r="O22" s="62">
        <f t="shared" si="7"/>
        <v>0.29175468353888778</v>
      </c>
      <c r="P22" s="62">
        <f t="shared" si="7"/>
        <v>0.29608096542145818</v>
      </c>
      <c r="Q22" s="62">
        <f t="shared" si="7"/>
        <v>0.3003905990280783</v>
      </c>
      <c r="R22" s="62">
        <f t="shared" si="7"/>
        <v>0.30481169182011386</v>
      </c>
      <c r="S22" s="62">
        <f t="shared" si="7"/>
        <v>0.30823276216970075</v>
      </c>
      <c r="T22" s="62">
        <f t="shared" si="7"/>
        <v>0.31397724732036036</v>
      </c>
      <c r="U22" s="62">
        <f t="shared" si="7"/>
        <v>0.32177321301557382</v>
      </c>
      <c r="V22" s="61">
        <f t="shared" si="7"/>
        <v>0.31017810605736984</v>
      </c>
      <c r="W22" s="66"/>
      <c r="X22" s="66"/>
    </row>
    <row r="23" spans="1:29" s="67" customFormat="1" x14ac:dyDescent="0.2">
      <c r="A23" s="68" t="s">
        <v>131</v>
      </c>
      <c r="B23" s="69"/>
      <c r="D23" s="70">
        <v>1990</v>
      </c>
      <c r="E23" s="70">
        <v>1991</v>
      </c>
      <c r="F23" s="70">
        <v>1992</v>
      </c>
      <c r="G23" s="70">
        <v>1993</v>
      </c>
      <c r="H23" s="70">
        <v>1994</v>
      </c>
      <c r="I23" s="70">
        <v>1995</v>
      </c>
      <c r="J23" s="70">
        <v>1996</v>
      </c>
      <c r="K23" s="70">
        <v>1997</v>
      </c>
      <c r="L23" s="70">
        <v>1998</v>
      </c>
      <c r="M23" s="71">
        <v>1999</v>
      </c>
      <c r="N23" s="70">
        <v>2000</v>
      </c>
      <c r="O23" s="70">
        <v>2001</v>
      </c>
      <c r="P23" s="70">
        <v>2002</v>
      </c>
      <c r="Q23" s="70">
        <v>2003</v>
      </c>
      <c r="R23" s="70">
        <v>2004</v>
      </c>
      <c r="S23" s="70">
        <v>2005</v>
      </c>
      <c r="T23" s="70">
        <v>2006</v>
      </c>
      <c r="U23" s="70">
        <v>2007</v>
      </c>
      <c r="V23" s="70">
        <v>2008</v>
      </c>
      <c r="X23" s="66"/>
    </row>
    <row r="24" spans="1:29" s="67" customFormat="1" x14ac:dyDescent="0.2">
      <c r="A24" s="72" t="s">
        <v>132</v>
      </c>
      <c r="B24" s="73" t="s">
        <v>119</v>
      </c>
      <c r="C24" s="31" t="s">
        <v>101</v>
      </c>
      <c r="D24" s="74">
        <v>226.98007154701881</v>
      </c>
      <c r="E24" s="74">
        <v>233.44659220088997</v>
      </c>
      <c r="F24" s="74">
        <v>239.95916796179617</v>
      </c>
      <c r="G24" s="74">
        <v>241.43906853178086</v>
      </c>
      <c r="H24" s="74">
        <v>245.28611604229695</v>
      </c>
      <c r="I24" s="74">
        <v>249.8226014997895</v>
      </c>
      <c r="J24" s="74">
        <v>254.07494031751335</v>
      </c>
      <c r="K24" s="74">
        <v>258.76200052713301</v>
      </c>
      <c r="L24" s="74">
        <v>264.25958869878679</v>
      </c>
      <c r="M24" s="74">
        <v>269.99873745024496</v>
      </c>
      <c r="N24" s="74">
        <v>269.01260775795669</v>
      </c>
      <c r="O24" s="74">
        <v>274.06314018039171</v>
      </c>
      <c r="P24" s="74">
        <v>278.53347405493594</v>
      </c>
      <c r="Q24" s="74">
        <v>281.91376862560264</v>
      </c>
      <c r="R24" s="74">
        <v>288.89877837325281</v>
      </c>
      <c r="S24" s="74">
        <v>290.14022491967398</v>
      </c>
      <c r="T24" s="74">
        <v>295.07809497749304</v>
      </c>
      <c r="U24" s="74">
        <v>301.7587587696861</v>
      </c>
      <c r="V24" s="74">
        <v>294.89334549917868</v>
      </c>
      <c r="X24" s="31" t="s">
        <v>124</v>
      </c>
      <c r="Y24" s="67">
        <f>+V24/V33</f>
        <v>0.96055776988829022</v>
      </c>
      <c r="Z24" s="41"/>
    </row>
    <row r="25" spans="1:29" s="67" customFormat="1" x14ac:dyDescent="0.2">
      <c r="A25" s="72" t="s">
        <v>133</v>
      </c>
      <c r="B25" s="73" t="s">
        <v>119</v>
      </c>
      <c r="C25" s="31" t="s">
        <v>101</v>
      </c>
      <c r="D25" s="74">
        <f t="shared" ref="D25:U25" si="8">D12</f>
        <v>141.76929317032776</v>
      </c>
      <c r="E25" s="74">
        <f t="shared" si="8"/>
        <v>147.27310068520629</v>
      </c>
      <c r="F25" s="74">
        <f t="shared" si="8"/>
        <v>152.16866525406937</v>
      </c>
      <c r="G25" s="74">
        <f t="shared" si="8"/>
        <v>153.75376850014604</v>
      </c>
      <c r="H25" s="74">
        <f t="shared" si="8"/>
        <v>154.19432614151276</v>
      </c>
      <c r="I25" s="74">
        <f t="shared" si="8"/>
        <v>156.85009247763799</v>
      </c>
      <c r="J25" s="74">
        <f t="shared" si="8"/>
        <v>159.77984324348412</v>
      </c>
      <c r="K25" s="74">
        <f t="shared" si="8"/>
        <v>161.768405851745</v>
      </c>
      <c r="L25" s="74">
        <f t="shared" si="8"/>
        <v>164.3284898961044</v>
      </c>
      <c r="M25" s="74">
        <f t="shared" si="8"/>
        <v>167.38812400723651</v>
      </c>
      <c r="N25" s="74">
        <f t="shared" si="8"/>
        <v>164.98091362446144</v>
      </c>
      <c r="O25" s="74">
        <f t="shared" si="8"/>
        <v>167.30188927902043</v>
      </c>
      <c r="P25" s="74">
        <f t="shared" si="8"/>
        <v>169.20740504136162</v>
      </c>
      <c r="Q25" s="74">
        <f t="shared" si="8"/>
        <v>169.42196602831288</v>
      </c>
      <c r="R25" s="74">
        <f t="shared" si="8"/>
        <v>171.83737877614368</v>
      </c>
      <c r="S25" s="74">
        <f t="shared" si="8"/>
        <v>170.666877023654</v>
      </c>
      <c r="T25" s="74">
        <f t="shared" si="8"/>
        <v>171.17180965876233</v>
      </c>
      <c r="U25" s="74">
        <f t="shared" si="8"/>
        <v>172.41441101786992</v>
      </c>
      <c r="V25" s="74">
        <f>V12</f>
        <v>171.5422800682847</v>
      </c>
      <c r="X25" s="66" t="s">
        <v>102</v>
      </c>
      <c r="Z25" s="41"/>
      <c r="AA25" s="75"/>
    </row>
    <row r="26" spans="1:29" s="79" customFormat="1" x14ac:dyDescent="0.2">
      <c r="A26" s="76" t="s">
        <v>134</v>
      </c>
      <c r="B26" s="77" t="s">
        <v>119</v>
      </c>
      <c r="C26" s="31" t="s">
        <v>101</v>
      </c>
      <c r="D26" s="78">
        <v>114.21134061007143</v>
      </c>
      <c r="E26" s="78">
        <v>118.19131395333072</v>
      </c>
      <c r="F26" s="78">
        <v>120.99652412669307</v>
      </c>
      <c r="G26" s="78">
        <v>121.31329597890721</v>
      </c>
      <c r="H26" s="78">
        <v>119.80972139934414</v>
      </c>
      <c r="I26" s="78">
        <v>120.83849531712235</v>
      </c>
      <c r="J26" s="78">
        <v>121.87441580121045</v>
      </c>
      <c r="K26" s="78">
        <v>122.40791339642453</v>
      </c>
      <c r="L26" s="78">
        <v>124.46191821907354</v>
      </c>
      <c r="M26" s="78">
        <v>124.82094808007724</v>
      </c>
      <c r="N26" s="78">
        <v>119.7503787737356</v>
      </c>
      <c r="O26" s="78">
        <v>117.62632532744519</v>
      </c>
      <c r="P26" s="78">
        <v>115.46157076763974</v>
      </c>
      <c r="Q26" s="78">
        <v>111.68808442679084</v>
      </c>
      <c r="R26" s="78">
        <v>108.91195345981969</v>
      </c>
      <c r="S26" s="78">
        <v>104.56499809932846</v>
      </c>
      <c r="T26" s="78">
        <v>100.57325820278308</v>
      </c>
      <c r="U26" s="78">
        <v>97.305553246496174</v>
      </c>
      <c r="V26" s="78">
        <v>94.354481992636465</v>
      </c>
      <c r="X26" s="66" t="s">
        <v>102</v>
      </c>
      <c r="Z26" s="41"/>
      <c r="AA26" s="80"/>
    </row>
    <row r="27" spans="1:29" s="79" customFormat="1" x14ac:dyDescent="0.2">
      <c r="A27" s="76" t="s">
        <v>135</v>
      </c>
      <c r="B27" s="77" t="s">
        <v>119</v>
      </c>
      <c r="C27" s="31" t="s">
        <v>101</v>
      </c>
      <c r="D27" s="78">
        <v>24.833952560256328</v>
      </c>
      <c r="E27" s="78">
        <v>26.440786731875566</v>
      </c>
      <c r="F27" s="78">
        <v>28.686141127376317</v>
      </c>
      <c r="G27" s="78">
        <v>29.844472521238821</v>
      </c>
      <c r="H27" s="78">
        <v>31.605604742168637</v>
      </c>
      <c r="I27" s="78">
        <v>33.006597160515639</v>
      </c>
      <c r="J27" s="78">
        <v>34.767427442273686</v>
      </c>
      <c r="K27" s="78">
        <v>35.900492455320453</v>
      </c>
      <c r="L27" s="78">
        <v>36.321571677030867</v>
      </c>
      <c r="M27" s="78">
        <v>39.029175927159244</v>
      </c>
      <c r="N27" s="78">
        <v>41.565534850725847</v>
      </c>
      <c r="O27" s="78">
        <v>45.79856395157524</v>
      </c>
      <c r="P27" s="78">
        <v>49.70883427372187</v>
      </c>
      <c r="Q27" s="78">
        <v>53.459881601522042</v>
      </c>
      <c r="R27" s="78">
        <v>58.484425316323986</v>
      </c>
      <c r="S27" s="78">
        <v>61.600878924325542</v>
      </c>
      <c r="T27" s="78">
        <v>65.887551455979235</v>
      </c>
      <c r="U27" s="78">
        <v>70.304857771373747</v>
      </c>
      <c r="V27" s="78">
        <v>72.418798075648212</v>
      </c>
      <c r="X27" s="66" t="s">
        <v>102</v>
      </c>
      <c r="Z27" s="41"/>
      <c r="AA27" s="80"/>
    </row>
    <row r="28" spans="1:29" s="79" customFormat="1" x14ac:dyDescent="0.2">
      <c r="A28" s="76" t="s">
        <v>136</v>
      </c>
      <c r="B28" s="77" t="s">
        <v>119</v>
      </c>
      <c r="C28" s="31" t="s">
        <v>101</v>
      </c>
      <c r="D28" s="78">
        <v>2.7240000000000002</v>
      </c>
      <c r="E28" s="78">
        <v>2.641</v>
      </c>
      <c r="F28" s="78">
        <v>2.4860000000000002</v>
      </c>
      <c r="G28" s="78">
        <v>2.5960000000000001</v>
      </c>
      <c r="H28" s="78">
        <v>2.7789999999999999</v>
      </c>
      <c r="I28" s="78">
        <v>3.0049999999999999</v>
      </c>
      <c r="J28" s="78">
        <v>3.1379999999999999</v>
      </c>
      <c r="K28" s="78">
        <v>3.46</v>
      </c>
      <c r="L28" s="78">
        <v>3.5449999999999999</v>
      </c>
      <c r="M28" s="78">
        <v>3.5379999999999998</v>
      </c>
      <c r="N28" s="78">
        <v>3.665</v>
      </c>
      <c r="O28" s="78">
        <v>3.8769999999999998</v>
      </c>
      <c r="P28" s="78">
        <v>4.0369999999999999</v>
      </c>
      <c r="Q28" s="78">
        <v>4.274</v>
      </c>
      <c r="R28" s="78">
        <v>4.4409999999999998</v>
      </c>
      <c r="S28" s="78">
        <v>4.5010000000000003</v>
      </c>
      <c r="T28" s="78">
        <v>4.7110000000000003</v>
      </c>
      <c r="U28" s="78">
        <v>4.8040000000000003</v>
      </c>
      <c r="V28" s="78">
        <v>4.7690000000000001</v>
      </c>
      <c r="X28" s="66" t="s">
        <v>102</v>
      </c>
      <c r="Z28" s="41"/>
      <c r="AA28" s="80"/>
    </row>
    <row r="29" spans="1:29" s="67" customFormat="1" x14ac:dyDescent="0.2">
      <c r="A29" s="72" t="s">
        <v>137</v>
      </c>
      <c r="B29" s="73" t="s">
        <v>119</v>
      </c>
      <c r="C29" s="31" t="s">
        <v>101</v>
      </c>
      <c r="D29" s="74">
        <v>76.109733843309158</v>
      </c>
      <c r="E29" s="74">
        <v>77.049022549187768</v>
      </c>
      <c r="F29" s="74">
        <v>78.576155591146446</v>
      </c>
      <c r="G29" s="74">
        <v>78.451523396430119</v>
      </c>
      <c r="H29" s="74">
        <v>81.872142512721297</v>
      </c>
      <c r="I29" s="74">
        <v>83.596527528374423</v>
      </c>
      <c r="J29" s="74">
        <v>84.884640054512531</v>
      </c>
      <c r="K29" s="74">
        <v>87.514351157209106</v>
      </c>
      <c r="L29" s="74">
        <v>90.330047199324383</v>
      </c>
      <c r="M29" s="74">
        <v>93.247357997714516</v>
      </c>
      <c r="N29" s="74">
        <v>94.553766774664965</v>
      </c>
      <c r="O29" s="74">
        <v>97.330570345592932</v>
      </c>
      <c r="P29" s="74">
        <v>99.961811580374118</v>
      </c>
      <c r="Q29" s="74">
        <v>102.91825558331122</v>
      </c>
      <c r="R29" s="74">
        <v>107.44605381216637</v>
      </c>
      <c r="S29" s="74">
        <v>109.76329710005368</v>
      </c>
      <c r="T29" s="74">
        <v>113.9593276446859</v>
      </c>
      <c r="U29" s="74">
        <v>119.28704436125429</v>
      </c>
      <c r="V29" s="74">
        <v>113.14749705010037</v>
      </c>
      <c r="X29" s="66" t="s">
        <v>102</v>
      </c>
      <c r="Z29" s="41"/>
    </row>
    <row r="30" spans="1:29" s="67" customFormat="1" x14ac:dyDescent="0.2">
      <c r="A30" s="72" t="s">
        <v>138</v>
      </c>
      <c r="B30" s="73" t="s">
        <v>119</v>
      </c>
      <c r="C30" s="31" t="s">
        <v>101</v>
      </c>
      <c r="D30" s="81">
        <v>6.9742695086267332</v>
      </c>
      <c r="E30" s="81">
        <v>6.9484139939767635</v>
      </c>
      <c r="F30" s="81">
        <v>7.0020001091049107</v>
      </c>
      <c r="G30" s="81">
        <v>6.9705858622102115</v>
      </c>
      <c r="H30" s="81">
        <v>6.9530256747795143</v>
      </c>
      <c r="I30" s="81">
        <v>6.90237333176416</v>
      </c>
      <c r="J30" s="81">
        <v>6.784644022199374</v>
      </c>
      <c r="K30" s="81">
        <v>6.7610078718290207</v>
      </c>
      <c r="L30" s="81">
        <v>6.7155990554015066</v>
      </c>
      <c r="M30" s="81">
        <v>6.2975125688475062</v>
      </c>
      <c r="N30" s="81">
        <v>6.3527250425094026</v>
      </c>
      <c r="O30" s="81">
        <v>6.219924628665896</v>
      </c>
      <c r="P30" s="81">
        <v>6.161961932695128</v>
      </c>
      <c r="Q30" s="81">
        <v>6.2470290332588361</v>
      </c>
      <c r="R30" s="81">
        <v>6.227038845026323</v>
      </c>
      <c r="S30" s="81">
        <v>6.1918494921449128</v>
      </c>
      <c r="T30" s="81">
        <v>6.3507522784767252</v>
      </c>
      <c r="U30" s="81">
        <v>6.4087873931084278</v>
      </c>
      <c r="V30" s="74">
        <v>6.5124196713757438</v>
      </c>
      <c r="X30" s="66" t="s">
        <v>102</v>
      </c>
      <c r="Z30" s="41"/>
    </row>
    <row r="31" spans="1:29" s="67" customFormat="1" x14ac:dyDescent="0.2">
      <c r="A31" s="72" t="s">
        <v>139</v>
      </c>
      <c r="B31" s="73" t="s">
        <v>119</v>
      </c>
      <c r="C31" s="31" t="s">
        <v>101</v>
      </c>
      <c r="D31" s="74">
        <f>D18</f>
        <v>9.4529999999999994</v>
      </c>
      <c r="E31" s="74">
        <f t="shared" ref="E31:V31" si="9">E18</f>
        <v>9.1620000000000008</v>
      </c>
      <c r="F31" s="74">
        <f t="shared" si="9"/>
        <v>9.4949999999999992</v>
      </c>
      <c r="G31" s="74">
        <f t="shared" si="9"/>
        <v>9.4329999999999998</v>
      </c>
      <c r="H31" s="74">
        <f t="shared" si="9"/>
        <v>9.34</v>
      </c>
      <c r="I31" s="74">
        <f t="shared" si="9"/>
        <v>9.4339999999999993</v>
      </c>
      <c r="J31" s="74">
        <f t="shared" si="9"/>
        <v>9.6980000000000004</v>
      </c>
      <c r="K31" s="74">
        <f t="shared" si="9"/>
        <v>9.6609999999999996</v>
      </c>
      <c r="L31" s="74">
        <f t="shared" si="9"/>
        <v>9.5709999999999997</v>
      </c>
      <c r="M31" s="74">
        <f t="shared" si="9"/>
        <v>9.4160000000000004</v>
      </c>
      <c r="N31" s="74">
        <f t="shared" si="9"/>
        <v>9.5809999999999995</v>
      </c>
      <c r="O31" s="74">
        <f t="shared" si="9"/>
        <v>9.2829999999999995</v>
      </c>
      <c r="P31" s="74">
        <f t="shared" si="9"/>
        <v>9.2970000000000006</v>
      </c>
      <c r="Q31" s="74">
        <f t="shared" si="9"/>
        <v>9.3580000000000005</v>
      </c>
      <c r="R31" s="74">
        <f t="shared" si="9"/>
        <v>9.5310000000000006</v>
      </c>
      <c r="S31" s="74">
        <f t="shared" si="9"/>
        <v>9.4149999999999991</v>
      </c>
      <c r="T31" s="74">
        <f t="shared" si="9"/>
        <v>9.0630000000000006</v>
      </c>
      <c r="U31" s="74">
        <f t="shared" si="9"/>
        <v>9.2149999999999999</v>
      </c>
      <c r="V31" s="74">
        <f t="shared" si="9"/>
        <v>9.3209999999999997</v>
      </c>
      <c r="X31" s="31" t="s">
        <v>124</v>
      </c>
      <c r="Z31" s="41"/>
    </row>
    <row r="32" spans="1:29" s="67" customFormat="1" x14ac:dyDescent="0.2">
      <c r="A32" s="72" t="s">
        <v>140</v>
      </c>
      <c r="B32" s="73" t="s">
        <v>119</v>
      </c>
      <c r="C32" s="31" t="s">
        <v>101</v>
      </c>
      <c r="D32" s="74">
        <f>D17</f>
        <v>7.18</v>
      </c>
      <c r="E32" s="74">
        <f t="shared" ref="E32:V32" si="10">E17</f>
        <v>7.45</v>
      </c>
      <c r="F32" s="74">
        <f t="shared" si="10"/>
        <v>7.5679999999999996</v>
      </c>
      <c r="G32" s="74">
        <f t="shared" si="10"/>
        <v>7.2629999999999999</v>
      </c>
      <c r="H32" s="74">
        <f t="shared" si="10"/>
        <v>7.2830000000000004</v>
      </c>
      <c r="I32" s="74">
        <f t="shared" si="10"/>
        <v>6.98</v>
      </c>
      <c r="J32" s="74">
        <f t="shared" si="10"/>
        <v>7.6150000000000002</v>
      </c>
      <c r="K32" s="74">
        <f t="shared" si="10"/>
        <v>7.468</v>
      </c>
      <c r="L32" s="74">
        <f t="shared" si="10"/>
        <v>7.3179999999999996</v>
      </c>
      <c r="M32" s="74">
        <f t="shared" si="10"/>
        <v>7.4130000000000003</v>
      </c>
      <c r="N32" s="74">
        <f t="shared" si="10"/>
        <v>6.5940000000000003</v>
      </c>
      <c r="O32" s="74">
        <f t="shared" si="10"/>
        <v>6.1559999999999997</v>
      </c>
      <c r="P32" s="74">
        <f t="shared" si="10"/>
        <v>6.181</v>
      </c>
      <c r="Q32" s="74">
        <f t="shared" si="10"/>
        <v>6.49</v>
      </c>
      <c r="R32" s="74">
        <f t="shared" si="10"/>
        <v>6.3319999999999999</v>
      </c>
      <c r="S32" s="74">
        <f t="shared" si="10"/>
        <v>6.5049999999999999</v>
      </c>
      <c r="T32" s="74">
        <f t="shared" si="10"/>
        <v>7.0940000000000003</v>
      </c>
      <c r="U32" s="74">
        <f t="shared" si="10"/>
        <v>6.4669999999999996</v>
      </c>
      <c r="V32" s="74">
        <f t="shared" si="10"/>
        <v>6.4790000000000001</v>
      </c>
      <c r="X32" s="31" t="s">
        <v>124</v>
      </c>
      <c r="Z32" s="41"/>
    </row>
    <row r="33" spans="1:24" s="68" customFormat="1" ht="11.25" customHeight="1" x14ac:dyDescent="0.2">
      <c r="A33" s="82" t="s">
        <v>141</v>
      </c>
      <c r="B33" s="83" t="s">
        <v>119</v>
      </c>
      <c r="C33" s="48" t="s">
        <v>101</v>
      </c>
      <c r="D33" s="84">
        <f>D25+D29+D30+D31+D32</f>
        <v>241.48629652226364</v>
      </c>
      <c r="E33" s="84">
        <f t="shared" ref="E33:V33" si="11">E25+E29+E30+E31+E32</f>
        <v>247.88253722837081</v>
      </c>
      <c r="F33" s="84">
        <f t="shared" si="11"/>
        <v>254.80982095432074</v>
      </c>
      <c r="G33" s="84">
        <f t="shared" si="11"/>
        <v>255.87187775878638</v>
      </c>
      <c r="H33" s="84">
        <f t="shared" si="11"/>
        <v>259.64249432901357</v>
      </c>
      <c r="I33" s="84">
        <f t="shared" si="11"/>
        <v>263.76299333777661</v>
      </c>
      <c r="J33" s="84">
        <f t="shared" si="11"/>
        <v>268.76212732019604</v>
      </c>
      <c r="K33" s="84">
        <f t="shared" si="11"/>
        <v>273.17276488078312</v>
      </c>
      <c r="L33" s="84">
        <f t="shared" si="11"/>
        <v>278.26313615083029</v>
      </c>
      <c r="M33" s="84">
        <f t="shared" si="11"/>
        <v>283.76199457379852</v>
      </c>
      <c r="N33" s="84">
        <f t="shared" si="11"/>
        <v>282.0624054416358</v>
      </c>
      <c r="O33" s="84">
        <f t="shared" si="11"/>
        <v>286.29138425327932</v>
      </c>
      <c r="P33" s="84">
        <f t="shared" si="11"/>
        <v>290.8091785544309</v>
      </c>
      <c r="Q33" s="84">
        <f t="shared" si="11"/>
        <v>294.43525064488296</v>
      </c>
      <c r="R33" s="84">
        <f t="shared" si="11"/>
        <v>301.37347143333636</v>
      </c>
      <c r="S33" s="84">
        <f t="shared" si="11"/>
        <v>302.5420236158526</v>
      </c>
      <c r="T33" s="84">
        <f t="shared" si="11"/>
        <v>307.6388895819249</v>
      </c>
      <c r="U33" s="84">
        <f t="shared" si="11"/>
        <v>313.79224277223261</v>
      </c>
      <c r="V33" s="84">
        <f t="shared" si="11"/>
        <v>307.00219678976083</v>
      </c>
      <c r="X33" s="85"/>
    </row>
    <row r="34" spans="1:24" s="67" customFormat="1" x14ac:dyDescent="0.2">
      <c r="B34" s="72"/>
      <c r="D34" s="73"/>
      <c r="E34" s="73"/>
      <c r="F34" s="73"/>
      <c r="G34" s="73"/>
      <c r="H34" s="73"/>
      <c r="I34" s="73"/>
      <c r="J34" s="73"/>
      <c r="K34" s="73"/>
      <c r="L34" s="73"/>
      <c r="M34" s="73"/>
      <c r="N34" s="73"/>
      <c r="O34" s="73"/>
      <c r="P34" s="73"/>
      <c r="Q34" s="73"/>
      <c r="R34" s="73"/>
      <c r="S34" s="73"/>
      <c r="T34" s="73"/>
      <c r="U34" s="73"/>
      <c r="V34" s="73"/>
      <c r="W34" s="86"/>
      <c r="X34" s="66"/>
    </row>
    <row r="35" spans="1:24" s="67" customFormat="1" x14ac:dyDescent="0.2">
      <c r="B35" s="72"/>
      <c r="D35" s="73"/>
      <c r="E35" s="86"/>
      <c r="F35" s="86"/>
      <c r="G35" s="86"/>
      <c r="H35" s="86"/>
      <c r="I35" s="86"/>
      <c r="J35" s="86"/>
      <c r="K35" s="86"/>
      <c r="L35" s="86"/>
      <c r="M35" s="86"/>
      <c r="N35" s="86"/>
      <c r="O35" s="86"/>
      <c r="P35" s="86"/>
      <c r="Q35" s="86"/>
      <c r="R35" s="86"/>
      <c r="S35" s="86"/>
      <c r="T35" s="86"/>
      <c r="U35" s="86"/>
      <c r="V35" s="86"/>
      <c r="W35" s="86"/>
      <c r="X35" s="66"/>
    </row>
    <row r="36" spans="1:24" s="67" customFormat="1" x14ac:dyDescent="0.2">
      <c r="A36" s="82" t="s">
        <v>142</v>
      </c>
      <c r="B36" s="72"/>
      <c r="D36" s="73"/>
      <c r="E36" s="87"/>
      <c r="F36" s="88"/>
      <c r="G36" s="88"/>
      <c r="H36" s="88"/>
      <c r="I36" s="88"/>
      <c r="J36" s="88"/>
      <c r="K36" s="88"/>
      <c r="L36" s="88"/>
      <c r="M36" s="88"/>
      <c r="N36" s="88"/>
      <c r="O36" s="88"/>
      <c r="P36" s="88"/>
      <c r="Q36" s="88"/>
      <c r="R36" s="88"/>
      <c r="S36" s="88"/>
      <c r="T36" s="88"/>
      <c r="U36" s="88"/>
      <c r="V36" s="88"/>
      <c r="W36" s="88"/>
      <c r="X36" s="66"/>
    </row>
    <row r="37" spans="1:24" s="67" customFormat="1" ht="13.5" customHeight="1" x14ac:dyDescent="0.2">
      <c r="A37" s="82"/>
      <c r="B37" s="69"/>
      <c r="D37" s="70">
        <v>1990</v>
      </c>
      <c r="E37" s="70">
        <v>1991</v>
      </c>
      <c r="F37" s="70">
        <v>1992</v>
      </c>
      <c r="G37" s="70">
        <v>1993</v>
      </c>
      <c r="H37" s="70">
        <v>1994</v>
      </c>
      <c r="I37" s="70">
        <v>1995</v>
      </c>
      <c r="J37" s="70">
        <v>1996</v>
      </c>
      <c r="K37" s="70">
        <v>1997</v>
      </c>
      <c r="L37" s="70">
        <v>1998</v>
      </c>
      <c r="M37" s="70">
        <v>1999</v>
      </c>
      <c r="N37" s="70">
        <v>2000</v>
      </c>
      <c r="O37" s="70">
        <v>2001</v>
      </c>
      <c r="P37" s="70">
        <v>2002</v>
      </c>
      <c r="Q37" s="70">
        <v>2003</v>
      </c>
      <c r="R37" s="70">
        <v>2004</v>
      </c>
      <c r="S37" s="70">
        <v>2005</v>
      </c>
      <c r="T37" s="70">
        <v>2006</v>
      </c>
      <c r="U37" s="70">
        <v>2007</v>
      </c>
      <c r="V37" s="70">
        <v>2008</v>
      </c>
      <c r="X37" s="66"/>
    </row>
    <row r="38" spans="1:24" s="67" customFormat="1" x14ac:dyDescent="0.2">
      <c r="A38" s="72" t="s">
        <v>143</v>
      </c>
      <c r="B38" s="73" t="s">
        <v>144</v>
      </c>
      <c r="C38" s="31" t="s">
        <v>101</v>
      </c>
      <c r="D38" s="89">
        <v>8.5544672300477664</v>
      </c>
      <c r="E38" s="89">
        <v>8.4379634872556366</v>
      </c>
      <c r="F38" s="89">
        <v>8.4057768844900984</v>
      </c>
      <c r="G38" s="89">
        <v>8.3816578257244476</v>
      </c>
      <c r="H38" s="89">
        <v>8.2760955291731673</v>
      </c>
      <c r="I38" s="89">
        <v>8.2025591603291339</v>
      </c>
      <c r="J38" s="89">
        <v>8.1642404518082614</v>
      </c>
      <c r="K38" s="89">
        <v>8.2117176667647716</v>
      </c>
      <c r="L38" s="89">
        <v>8.1290833310546429</v>
      </c>
      <c r="M38" s="89">
        <v>8.078055328292475</v>
      </c>
      <c r="N38" s="89">
        <v>7.9315744029069908</v>
      </c>
      <c r="O38" s="89">
        <v>7.8219305993461941</v>
      </c>
      <c r="P38" s="89">
        <v>7.7669206798695338</v>
      </c>
      <c r="Q38" s="89">
        <v>7.6615506597897571</v>
      </c>
      <c r="R38" s="89">
        <v>7.5807033960935</v>
      </c>
      <c r="S38" s="89">
        <v>7.4763168064382457</v>
      </c>
      <c r="T38" s="89">
        <v>7.3834199303835497</v>
      </c>
      <c r="U38" s="89">
        <v>7.3100647440031512</v>
      </c>
      <c r="V38" s="90">
        <v>7.1770663285874399</v>
      </c>
      <c r="X38" s="66" t="s">
        <v>102</v>
      </c>
    </row>
    <row r="39" spans="1:24" s="67" customFormat="1" x14ac:dyDescent="0.2">
      <c r="A39" s="76" t="s">
        <v>145</v>
      </c>
      <c r="B39" s="73" t="s">
        <v>144</v>
      </c>
      <c r="C39" s="31" t="s">
        <v>101</v>
      </c>
      <c r="D39" s="89">
        <v>8.6444602690130097</v>
      </c>
      <c r="E39" s="89">
        <v>8.5340304131566675</v>
      </c>
      <c r="F39" s="89">
        <v>8.497531834146784</v>
      </c>
      <c r="G39" s="89">
        <v>8.4927262981487406</v>
      </c>
      <c r="H39" s="89">
        <v>8.4037210201362651</v>
      </c>
      <c r="I39" s="89">
        <v>8.3392190329595319</v>
      </c>
      <c r="J39" s="89">
        <v>8.3141583420248857</v>
      </c>
      <c r="K39" s="89">
        <v>8.3606384967872245</v>
      </c>
      <c r="L39" s="89">
        <v>8.2827921730522878</v>
      </c>
      <c r="M39" s="89">
        <v>8.2593687589516041</v>
      </c>
      <c r="N39" s="89">
        <v>8.1215288060479978</v>
      </c>
      <c r="O39" s="89">
        <v>8.0543296726749531</v>
      </c>
      <c r="P39" s="89">
        <v>8.0089735638692101</v>
      </c>
      <c r="Q39" s="89">
        <v>7.9188692296103351</v>
      </c>
      <c r="R39" s="89">
        <v>7.8726609297447885</v>
      </c>
      <c r="S39" s="89">
        <v>7.7884645836978725</v>
      </c>
      <c r="T39" s="89">
        <v>7.716879332718575</v>
      </c>
      <c r="U39" s="89">
        <v>7.6540698371006348</v>
      </c>
      <c r="V39" s="90">
        <v>7.5039843369313797</v>
      </c>
      <c r="X39" s="66" t="s">
        <v>102</v>
      </c>
    </row>
    <row r="40" spans="1:24" s="67" customFormat="1" x14ac:dyDescent="0.2">
      <c r="A40" s="76" t="s">
        <v>146</v>
      </c>
      <c r="B40" s="73" t="s">
        <v>144</v>
      </c>
      <c r="C40" s="31" t="s">
        <v>101</v>
      </c>
      <c r="D40" s="89">
        <v>7.1350599873825038</v>
      </c>
      <c r="E40" s="89">
        <v>7.051788830483912</v>
      </c>
      <c r="F40" s="89">
        <v>7.1104698889702975</v>
      </c>
      <c r="G40" s="89">
        <v>7.0707420437620643</v>
      </c>
      <c r="H40" s="89">
        <v>6.9425988474807196</v>
      </c>
      <c r="I40" s="89">
        <v>6.9047882770628473</v>
      </c>
      <c r="J40" s="89">
        <v>6.8674365364312306</v>
      </c>
      <c r="K40" s="89">
        <v>6.9804326348412813</v>
      </c>
      <c r="L40" s="89">
        <v>6.9404641914849519</v>
      </c>
      <c r="M40" s="89">
        <v>6.8421725313684272</v>
      </c>
      <c r="N40" s="89">
        <v>6.7635118156875969</v>
      </c>
      <c r="O40" s="89">
        <v>6.6625301549678841</v>
      </c>
      <c r="P40" s="89">
        <v>6.6269533707504271</v>
      </c>
      <c r="Q40" s="89">
        <v>6.5914605147224252</v>
      </c>
      <c r="R40" s="89">
        <v>6.5377423063843079</v>
      </c>
      <c r="S40" s="89">
        <v>6.478162494127111</v>
      </c>
      <c r="T40" s="89">
        <v>6.4361630074066927</v>
      </c>
      <c r="U40" s="89">
        <v>6.4133951935329483</v>
      </c>
      <c r="V40" s="90">
        <v>6.3409222257041762</v>
      </c>
      <c r="X40" s="66" t="s">
        <v>102</v>
      </c>
    </row>
    <row r="41" spans="1:24" s="67" customFormat="1" ht="4.5" customHeight="1" x14ac:dyDescent="0.2">
      <c r="A41" s="76"/>
      <c r="B41" s="73"/>
      <c r="C41" s="31"/>
      <c r="D41" s="89"/>
      <c r="E41" s="89"/>
      <c r="F41" s="89"/>
      <c r="G41" s="89"/>
      <c r="H41" s="89"/>
      <c r="I41" s="89"/>
      <c r="J41" s="89"/>
      <c r="K41" s="89"/>
      <c r="L41" s="89"/>
      <c r="M41" s="89"/>
      <c r="N41" s="89"/>
      <c r="O41" s="89"/>
      <c r="P41" s="89"/>
      <c r="Q41" s="89"/>
      <c r="R41" s="89"/>
      <c r="S41" s="89"/>
      <c r="T41" s="89"/>
      <c r="U41" s="89"/>
      <c r="X41" s="66"/>
    </row>
    <row r="42" spans="1:24" s="67" customFormat="1" x14ac:dyDescent="0.2">
      <c r="A42" s="72" t="s">
        <v>147</v>
      </c>
      <c r="B42" s="73" t="s">
        <v>148</v>
      </c>
      <c r="C42" s="31" t="s">
        <v>101</v>
      </c>
      <c r="D42" s="91">
        <v>155536.79903758809</v>
      </c>
      <c r="E42" s="91">
        <v>159508.24884205783</v>
      </c>
      <c r="F42" s="91">
        <v>163442.16845353591</v>
      </c>
      <c r="G42" s="91">
        <v>166219.18098392599</v>
      </c>
      <c r="H42" s="91">
        <v>169879.01153399341</v>
      </c>
      <c r="I42" s="91">
        <v>173509.61373432018</v>
      </c>
      <c r="J42" s="91">
        <v>177421.77618590643</v>
      </c>
      <c r="K42" s="91">
        <v>181349.28059378389</v>
      </c>
      <c r="L42" s="91">
        <v>185392.37571430992</v>
      </c>
      <c r="M42" s="91">
        <v>190798.63388956807</v>
      </c>
      <c r="N42" s="91">
        <v>195375.31699999998</v>
      </c>
      <c r="O42" s="91">
        <v>201782.87100000001</v>
      </c>
      <c r="P42" s="91">
        <v>206360.68100000004</v>
      </c>
      <c r="Q42" s="91">
        <v>209546.95600000003</v>
      </c>
      <c r="R42" s="91">
        <v>213256.16700000002</v>
      </c>
      <c r="S42" s="91">
        <v>217782.76300000001</v>
      </c>
      <c r="T42" s="91">
        <v>222369.67399999997</v>
      </c>
      <c r="U42" s="91">
        <v>227752.54800000004</v>
      </c>
      <c r="V42" s="74">
        <v>227191.63459999999</v>
      </c>
      <c r="X42" s="66" t="s">
        <v>102</v>
      </c>
    </row>
    <row r="43" spans="1:24" s="79" customFormat="1" x14ac:dyDescent="0.2">
      <c r="A43" s="76" t="s">
        <v>145</v>
      </c>
      <c r="B43" s="77" t="s">
        <v>148</v>
      </c>
      <c r="C43" s="31" t="s">
        <v>101</v>
      </c>
      <c r="D43" s="92">
        <v>136046.08543991501</v>
      </c>
      <c r="E43" s="92">
        <v>138909.05465624714</v>
      </c>
      <c r="F43" s="92">
        <v>141667.24019497979</v>
      </c>
      <c r="G43" s="92">
        <v>142548.86408464235</v>
      </c>
      <c r="H43" s="92">
        <v>144476.68588042978</v>
      </c>
      <c r="I43" s="92">
        <v>146073.80344835331</v>
      </c>
      <c r="J43" s="92">
        <v>147937.22262859225</v>
      </c>
      <c r="K43" s="92">
        <v>150133.71055148233</v>
      </c>
      <c r="L43" s="92">
        <v>152120.62561227055</v>
      </c>
      <c r="M43" s="92">
        <v>154532.54785217627</v>
      </c>
      <c r="N43" s="92">
        <v>155491.43430942908</v>
      </c>
      <c r="O43" s="92">
        <v>156799.19461430307</v>
      </c>
      <c r="P43" s="92">
        <v>157682.13131514585</v>
      </c>
      <c r="Q43" s="92">
        <v>156461.85459321272</v>
      </c>
      <c r="R43" s="92">
        <v>154636.65476082943</v>
      </c>
      <c r="S43" s="92">
        <v>154541.50401210081</v>
      </c>
      <c r="T43" s="92">
        <v>153444.34183951977</v>
      </c>
      <c r="U43" s="92">
        <v>153191.54775342465</v>
      </c>
      <c r="V43" s="78">
        <v>148395.9355408214</v>
      </c>
      <c r="X43" s="93" t="s">
        <v>102</v>
      </c>
    </row>
    <row r="44" spans="1:24" s="79" customFormat="1" ht="10.5" customHeight="1" x14ac:dyDescent="0.2">
      <c r="A44" s="76" t="s">
        <v>146</v>
      </c>
      <c r="B44" s="77" t="s">
        <v>148</v>
      </c>
      <c r="C44" s="31" t="s">
        <v>101</v>
      </c>
      <c r="D44" s="92">
        <v>17295.206232780798</v>
      </c>
      <c r="E44" s="92">
        <v>18665.743243705278</v>
      </c>
      <c r="F44" s="92">
        <v>19885.720929158408</v>
      </c>
      <c r="G44" s="92">
        <v>21899.928893950233</v>
      </c>
      <c r="H44" s="92">
        <v>23585.214440371743</v>
      </c>
      <c r="I44" s="92">
        <v>25522.392089177007</v>
      </c>
      <c r="J44" s="92">
        <v>27386.743952731769</v>
      </c>
      <c r="K44" s="92">
        <v>29210.540822334246</v>
      </c>
      <c r="L44" s="92">
        <v>31369.981103989187</v>
      </c>
      <c r="M44" s="92">
        <v>34279.880031642962</v>
      </c>
      <c r="N44" s="92">
        <v>37815.163741335498</v>
      </c>
      <c r="O44" s="92">
        <v>41601.566050558169</v>
      </c>
      <c r="P44" s="92">
        <v>45372.874446314294</v>
      </c>
      <c r="Q44" s="92">
        <v>49973.379185189355</v>
      </c>
      <c r="R44" s="92">
        <v>55556.625013958997</v>
      </c>
      <c r="S44" s="92">
        <v>61109.227277622718</v>
      </c>
      <c r="T44" s="92">
        <v>66617.825585089347</v>
      </c>
      <c r="U44" s="92">
        <v>72553.489709167552</v>
      </c>
      <c r="V44" s="78">
        <v>76491.265691476554</v>
      </c>
      <c r="X44" s="93" t="s">
        <v>102</v>
      </c>
    </row>
    <row r="45" spans="1:24" s="67" customFormat="1" x14ac:dyDescent="0.2">
      <c r="A45" s="72" t="s">
        <v>149</v>
      </c>
      <c r="B45" s="73" t="s">
        <v>150</v>
      </c>
      <c r="C45" s="31" t="s">
        <v>101</v>
      </c>
      <c r="D45" s="91">
        <v>12954.046976551212</v>
      </c>
      <c r="E45" s="91">
        <v>13040.726497067306</v>
      </c>
      <c r="F45" s="91">
        <v>13183.035231100488</v>
      </c>
      <c r="G45" s="91">
        <v>13193.027348380045</v>
      </c>
      <c r="H45" s="91">
        <v>13091.366629936258</v>
      </c>
      <c r="I45" s="91">
        <v>13272.378713143669</v>
      </c>
      <c r="J45" s="91">
        <v>13278.34439214707</v>
      </c>
      <c r="K45" s="91">
        <v>13283.915183533956</v>
      </c>
      <c r="L45" s="91">
        <v>13290.290909341647</v>
      </c>
      <c r="M45" s="91">
        <v>13359.977947683123</v>
      </c>
      <c r="N45" s="91">
        <v>13042.476788907717</v>
      </c>
      <c r="O45" s="91">
        <v>12906.974862600968</v>
      </c>
      <c r="P45" s="91">
        <v>12875.700671032298</v>
      </c>
      <c r="Q45" s="91">
        <v>12846.555952724017</v>
      </c>
      <c r="R45" s="91">
        <v>12824.215426234205</v>
      </c>
      <c r="S45" s="91">
        <v>12596.15431104977</v>
      </c>
      <c r="T45" s="91">
        <v>12543.195613979304</v>
      </c>
      <c r="U45" s="91">
        <v>12475.243394828136</v>
      </c>
      <c r="V45" s="74">
        <v>12620.721251859717</v>
      </c>
      <c r="X45" s="66" t="s">
        <v>102</v>
      </c>
    </row>
    <row r="46" spans="1:24" s="67" customFormat="1" ht="5.25" customHeight="1" x14ac:dyDescent="0.2">
      <c r="A46" s="72"/>
      <c r="B46" s="73"/>
      <c r="C46" s="31"/>
      <c r="D46" s="91"/>
      <c r="E46" s="91"/>
      <c r="F46" s="91"/>
      <c r="G46" s="91"/>
      <c r="H46" s="91"/>
      <c r="I46" s="91"/>
      <c r="J46" s="91"/>
      <c r="K46" s="91"/>
      <c r="L46" s="91"/>
      <c r="M46" s="91"/>
      <c r="N46" s="91"/>
      <c r="O46" s="91"/>
      <c r="P46" s="91"/>
      <c r="Q46" s="91"/>
      <c r="R46" s="91"/>
      <c r="S46" s="91"/>
      <c r="T46" s="91"/>
      <c r="U46" s="91"/>
      <c r="V46" s="74"/>
      <c r="X46" s="66"/>
    </row>
    <row r="47" spans="1:24" s="67" customFormat="1" x14ac:dyDescent="0.2">
      <c r="A47" s="72" t="s">
        <v>151</v>
      </c>
      <c r="B47" s="73" t="s">
        <v>148</v>
      </c>
      <c r="C47" s="31" t="s">
        <v>101</v>
      </c>
      <c r="D47" s="91">
        <v>19552.603330999194</v>
      </c>
      <c r="E47" s="91">
        <v>20125.425862991928</v>
      </c>
      <c r="F47" s="91">
        <v>20761.186778058152</v>
      </c>
      <c r="G47" s="91">
        <v>21278.221149192639</v>
      </c>
      <c r="H47" s="91">
        <v>21898.639652128153</v>
      </c>
      <c r="I47" s="91">
        <v>22527.432613850622</v>
      </c>
      <c r="J47" s="91">
        <v>23291.05436588074</v>
      </c>
      <c r="K47" s="91">
        <v>24161.402950018364</v>
      </c>
      <c r="L47" s="91">
        <v>25006.008467993805</v>
      </c>
      <c r="M47" s="91">
        <v>26001.53068629315</v>
      </c>
      <c r="N47" s="91">
        <v>27020.099999999995</v>
      </c>
      <c r="O47" s="91">
        <v>28077.499999999996</v>
      </c>
      <c r="P47" s="91">
        <v>29088.199999999993</v>
      </c>
      <c r="Q47" s="91">
        <v>29934.900000000005</v>
      </c>
      <c r="R47" s="91">
        <v>30811.4</v>
      </c>
      <c r="S47" s="91">
        <v>31610.100000000002</v>
      </c>
      <c r="T47" s="91">
        <v>32573.586061316062</v>
      </c>
      <c r="U47" s="91">
        <v>33328.306412325095</v>
      </c>
      <c r="V47" s="74">
        <v>34498.166703653769</v>
      </c>
      <c r="X47" s="66"/>
    </row>
    <row r="48" spans="1:24" s="67" customFormat="1" x14ac:dyDescent="0.2">
      <c r="A48" s="72" t="s">
        <v>152</v>
      </c>
      <c r="B48" s="73" t="s">
        <v>148</v>
      </c>
      <c r="C48" s="31" t="s">
        <v>101</v>
      </c>
      <c r="D48" s="91">
        <v>693.78360786460064</v>
      </c>
      <c r="E48" s="91">
        <v>700.40659859209427</v>
      </c>
      <c r="F48" s="91">
        <v>708.94681186484968</v>
      </c>
      <c r="G48" s="91">
        <v>716.31486956521746</v>
      </c>
      <c r="H48" s="91">
        <v>723.76973913043469</v>
      </c>
      <c r="I48" s="91">
        <v>720.0200000000001</v>
      </c>
      <c r="J48" s="91">
        <v>728.38000000000011</v>
      </c>
      <c r="K48" s="91">
        <v>726.80000000000007</v>
      </c>
      <c r="L48" s="91">
        <v>727.5</v>
      </c>
      <c r="M48" s="91">
        <v>736.00000000000011</v>
      </c>
      <c r="N48" s="91">
        <v>743.1</v>
      </c>
      <c r="O48" s="91">
        <v>751.30000000000007</v>
      </c>
      <c r="P48" s="91">
        <v>761.30600000000004</v>
      </c>
      <c r="Q48" s="91">
        <v>769.46399999999994</v>
      </c>
      <c r="R48" s="91">
        <v>762.48399999999992</v>
      </c>
      <c r="S48" s="91">
        <v>765.47000000000014</v>
      </c>
      <c r="T48" s="91">
        <v>753.30000000000007</v>
      </c>
      <c r="U48" s="91">
        <v>764.41000000000008</v>
      </c>
      <c r="V48" s="74">
        <v>776.81</v>
      </c>
      <c r="X48" s="66"/>
    </row>
    <row r="49" spans="1:32" s="67" customFormat="1" x14ac:dyDescent="0.2">
      <c r="A49" s="72" t="s">
        <v>153</v>
      </c>
      <c r="B49" s="73" t="s">
        <v>148</v>
      </c>
      <c r="C49" s="31" t="s">
        <v>101</v>
      </c>
      <c r="D49" s="91">
        <v>20931.847797743048</v>
      </c>
      <c r="E49" s="91">
        <v>20994.012528645831</v>
      </c>
      <c r="F49" s="91">
        <v>20662.084430555547</v>
      </c>
      <c r="G49" s="91">
        <v>20373.28553125</v>
      </c>
      <c r="H49" s="91">
        <v>20623.623562500001</v>
      </c>
      <c r="I49" s="91">
        <v>20913.463</v>
      </c>
      <c r="J49" s="91">
        <v>21638.63</v>
      </c>
      <c r="K49" s="91">
        <v>22186.437000000009</v>
      </c>
      <c r="L49" s="91">
        <v>22959.117999999995</v>
      </c>
      <c r="M49" s="91">
        <v>23977.699000000001</v>
      </c>
      <c r="N49" s="91">
        <v>24687.702999999994</v>
      </c>
      <c r="O49" s="91">
        <v>25570.837000000003</v>
      </c>
      <c r="P49" s="91">
        <v>26113.259000000002</v>
      </c>
      <c r="Q49" s="91">
        <v>26479.111999999997</v>
      </c>
      <c r="R49" s="91">
        <v>27195.112999999994</v>
      </c>
      <c r="S49" s="91">
        <v>28467.234</v>
      </c>
      <c r="T49" s="91">
        <v>29554.314000000006</v>
      </c>
      <c r="U49" s="91">
        <v>29007.424999999996</v>
      </c>
      <c r="V49" s="74">
        <v>30412.78</v>
      </c>
      <c r="X49" s="66"/>
    </row>
    <row r="50" spans="1:32" s="67" customFormat="1" x14ac:dyDescent="0.2">
      <c r="A50" s="72"/>
      <c r="B50" s="73"/>
      <c r="D50" s="94"/>
      <c r="E50" s="94"/>
      <c r="F50" s="94"/>
      <c r="G50" s="94"/>
      <c r="H50" s="94"/>
      <c r="I50" s="94"/>
      <c r="J50" s="94"/>
      <c r="K50" s="94"/>
      <c r="L50" s="94"/>
      <c r="M50" s="94"/>
      <c r="N50" s="94"/>
      <c r="O50" s="94"/>
      <c r="P50" s="94"/>
      <c r="Q50" s="94"/>
      <c r="R50" s="94"/>
      <c r="S50" s="94"/>
      <c r="T50" s="94"/>
      <c r="U50" s="94"/>
      <c r="X50" s="66"/>
    </row>
    <row r="51" spans="1:32" s="95" customFormat="1" x14ac:dyDescent="0.2">
      <c r="B51" s="96"/>
      <c r="E51" s="97"/>
      <c r="F51" s="97"/>
      <c r="G51" s="97"/>
      <c r="H51" s="97"/>
      <c r="I51" s="97"/>
      <c r="J51" s="97"/>
      <c r="K51" s="97"/>
      <c r="L51" s="97"/>
      <c r="M51" s="97"/>
      <c r="N51" s="97"/>
      <c r="O51" s="97"/>
      <c r="P51" s="97"/>
      <c r="Q51" s="74"/>
      <c r="R51" s="74"/>
      <c r="S51" s="74"/>
      <c r="T51" s="74"/>
      <c r="U51" s="67"/>
      <c r="V51" s="67"/>
      <c r="W51" s="67"/>
      <c r="X51" s="67"/>
    </row>
    <row r="52" spans="1:32" s="30" customFormat="1" x14ac:dyDescent="0.2">
      <c r="A52" s="98" t="s">
        <v>154</v>
      </c>
      <c r="E52" s="99"/>
      <c r="F52" s="99"/>
      <c r="G52" s="99"/>
      <c r="H52" s="99"/>
      <c r="I52" s="99"/>
      <c r="J52" s="99"/>
      <c r="K52" s="99"/>
      <c r="L52" s="99"/>
      <c r="M52" s="99"/>
      <c r="N52" s="99"/>
      <c r="O52" s="99"/>
      <c r="P52" s="99"/>
      <c r="Q52" s="99"/>
      <c r="R52" s="99"/>
      <c r="S52" s="99"/>
      <c r="T52" s="99"/>
      <c r="U52" s="99"/>
      <c r="V52" s="99"/>
      <c r="W52" s="99"/>
      <c r="Y52" s="30" t="s">
        <v>155</v>
      </c>
      <c r="AA52" s="30" t="s">
        <v>156</v>
      </c>
      <c r="AB52" s="95"/>
    </row>
    <row r="53" spans="1:32" s="100" customFormat="1" x14ac:dyDescent="0.2">
      <c r="A53" s="100" t="s">
        <v>103</v>
      </c>
      <c r="B53" s="100" t="s">
        <v>157</v>
      </c>
      <c r="C53" s="31" t="s">
        <v>101</v>
      </c>
      <c r="D53" s="101">
        <v>3351.4217315288652</v>
      </c>
      <c r="E53" s="101">
        <v>3531.1709442723513</v>
      </c>
      <c r="F53" s="101">
        <v>3609.2126562225458</v>
      </c>
      <c r="G53" s="101">
        <v>3678.2148705834379</v>
      </c>
      <c r="H53" s="101">
        <v>3828.6739924351796</v>
      </c>
      <c r="I53" s="101">
        <v>3892.9974954999993</v>
      </c>
      <c r="J53" s="101">
        <v>3960.5039999999995</v>
      </c>
      <c r="K53" s="101">
        <v>4039.0419999999999</v>
      </c>
      <c r="L53" s="101">
        <v>4137.4914551000002</v>
      </c>
      <c r="M53" s="101">
        <v>4240.4970000000012</v>
      </c>
      <c r="N53" s="101">
        <v>4321.9531157000001</v>
      </c>
      <c r="O53" s="101">
        <v>4405.5201529999995</v>
      </c>
      <c r="P53" s="101">
        <v>4480.4816396000006</v>
      </c>
      <c r="Q53" s="101">
        <v>4511.0193115000011</v>
      </c>
      <c r="R53" s="101">
        <v>4570.0373999999993</v>
      </c>
      <c r="S53" s="101">
        <v>4563.5205000000005</v>
      </c>
      <c r="T53" s="101">
        <v>4679.5186000000003</v>
      </c>
      <c r="U53" s="101">
        <v>4759.9632000000001</v>
      </c>
      <c r="V53" s="101">
        <v>4724.9530000000004</v>
      </c>
      <c r="X53" s="100" t="s">
        <v>158</v>
      </c>
      <c r="Y53" s="102" t="s">
        <v>159</v>
      </c>
      <c r="Z53" s="102"/>
      <c r="AA53" s="102" t="s">
        <v>160</v>
      </c>
      <c r="AB53" s="102"/>
    </row>
    <row r="54" spans="1:32" s="30" customFormat="1" x14ac:dyDescent="0.2">
      <c r="A54" s="30" t="s">
        <v>161</v>
      </c>
      <c r="B54" s="44" t="s">
        <v>157</v>
      </c>
      <c r="C54" s="31" t="s">
        <v>101</v>
      </c>
      <c r="D54" s="103">
        <v>556.91371570257331</v>
      </c>
      <c r="E54" s="103">
        <v>529.87522640946838</v>
      </c>
      <c r="F54" s="103">
        <v>514.80740099796299</v>
      </c>
      <c r="G54" s="103">
        <v>504.8705021900771</v>
      </c>
      <c r="H54" s="103">
        <v>499.77062819621466</v>
      </c>
      <c r="I54" s="103">
        <v>499.80668298834593</v>
      </c>
      <c r="J54" s="103">
        <v>503.74738164246889</v>
      </c>
      <c r="K54" s="103">
        <v>504.50601824935836</v>
      </c>
      <c r="L54" s="103">
        <v>512.5016213602288</v>
      </c>
      <c r="M54" s="103">
        <v>515.15455062583737</v>
      </c>
      <c r="N54" s="103">
        <v>518.24928013154158</v>
      </c>
      <c r="O54" s="103">
        <v>519.78162549882632</v>
      </c>
      <c r="P54" s="103">
        <v>518.86021921267593</v>
      </c>
      <c r="Q54" s="103">
        <v>520.08736916361352</v>
      </c>
      <c r="R54" s="103">
        <v>526.90736732850792</v>
      </c>
      <c r="S54" s="103">
        <v>528.49788246000003</v>
      </c>
      <c r="T54" s="103">
        <v>527.84047400000009</v>
      </c>
      <c r="U54" s="103">
        <v>541.96166199999993</v>
      </c>
      <c r="V54" s="104">
        <v>546.72250000000008</v>
      </c>
      <c r="X54" s="100" t="s">
        <v>158</v>
      </c>
    </row>
    <row r="55" spans="1:32" s="30" customFormat="1" x14ac:dyDescent="0.2">
      <c r="A55" s="30" t="s">
        <v>162</v>
      </c>
      <c r="B55" s="44" t="s">
        <v>157</v>
      </c>
      <c r="C55" s="31" t="s">
        <v>101</v>
      </c>
      <c r="D55" s="103">
        <v>400.70699999999988</v>
      </c>
      <c r="E55" s="103">
        <v>385.36200000000002</v>
      </c>
      <c r="F55" s="103">
        <v>374.38</v>
      </c>
      <c r="G55" s="103">
        <v>349.07400000000001</v>
      </c>
      <c r="H55" s="103">
        <v>342.16199999999998</v>
      </c>
      <c r="I55" s="103">
        <v>350.52470000000005</v>
      </c>
      <c r="J55" s="103">
        <v>348.99180000000013</v>
      </c>
      <c r="K55" s="103">
        <v>350.53159999999991</v>
      </c>
      <c r="L55" s="103">
        <v>350.60320000000007</v>
      </c>
      <c r="M55" s="103">
        <v>358.59970000000004</v>
      </c>
      <c r="N55" s="103">
        <v>370.70809999999994</v>
      </c>
      <c r="O55" s="103">
        <v>372.739349</v>
      </c>
      <c r="P55" s="103">
        <v>365.5702500000001</v>
      </c>
      <c r="Q55" s="103">
        <v>361.88681399999996</v>
      </c>
      <c r="R55" s="103">
        <v>367.81683299999997</v>
      </c>
      <c r="S55" s="103">
        <v>376.96839900000009</v>
      </c>
      <c r="T55" s="103">
        <v>388.87891100000002</v>
      </c>
      <c r="U55" s="103">
        <v>395.29815400000007</v>
      </c>
      <c r="V55" s="104">
        <v>409.19773000000015</v>
      </c>
      <c r="X55" s="100" t="s">
        <v>158</v>
      </c>
    </row>
    <row r="56" spans="1:32" s="30" customFormat="1" x14ac:dyDescent="0.2">
      <c r="A56" s="30" t="s">
        <v>163</v>
      </c>
      <c r="B56" s="44" t="s">
        <v>157</v>
      </c>
      <c r="C56" s="31" t="s">
        <v>101</v>
      </c>
      <c r="D56" s="103">
        <v>71</v>
      </c>
      <c r="E56" s="103">
        <v>71</v>
      </c>
      <c r="F56" s="103">
        <v>71</v>
      </c>
      <c r="G56" s="103">
        <v>71</v>
      </c>
      <c r="H56" s="103">
        <v>71</v>
      </c>
      <c r="I56" s="103">
        <v>71.088490000000007</v>
      </c>
      <c r="J56" s="103">
        <v>71.947299999999998</v>
      </c>
      <c r="K56" s="103">
        <v>72.502700000000004</v>
      </c>
      <c r="L56" s="103">
        <v>73.524263999999988</v>
      </c>
      <c r="M56" s="103">
        <v>75.080742000000001</v>
      </c>
      <c r="N56" s="103">
        <v>77.144400000000005</v>
      </c>
      <c r="O56" s="103">
        <v>77.812262779999998</v>
      </c>
      <c r="P56" s="103">
        <v>78.496711629999993</v>
      </c>
      <c r="Q56" s="103">
        <v>79.313020599999987</v>
      </c>
      <c r="R56" s="103">
        <v>81.935581769999999</v>
      </c>
      <c r="S56" s="103">
        <v>82.399041539999999</v>
      </c>
      <c r="T56" s="103">
        <v>84.154035999999991</v>
      </c>
      <c r="U56" s="103">
        <v>85.925028000000012</v>
      </c>
      <c r="V56" s="104">
        <v>88.960045400000013</v>
      </c>
      <c r="X56" s="100" t="s">
        <v>158</v>
      </c>
    </row>
    <row r="57" spans="1:32" s="98" customFormat="1" x14ac:dyDescent="0.2">
      <c r="A57" s="30" t="s">
        <v>164</v>
      </c>
      <c r="B57" s="44" t="s">
        <v>157</v>
      </c>
      <c r="C57" s="31" t="s">
        <v>101</v>
      </c>
      <c r="D57" s="105">
        <f>D53+D54+D55+D56</f>
        <v>4380.0424472314389</v>
      </c>
      <c r="E57" s="105">
        <f t="shared" ref="E57:U57" si="12">E53+E54+E55+E56</f>
        <v>4517.4081706818197</v>
      </c>
      <c r="F57" s="105">
        <f t="shared" si="12"/>
        <v>4569.4000572205086</v>
      </c>
      <c r="G57" s="105">
        <f t="shared" si="12"/>
        <v>4603.1593727735144</v>
      </c>
      <c r="H57" s="105">
        <f t="shared" si="12"/>
        <v>4741.6066206313944</v>
      </c>
      <c r="I57" s="105">
        <f t="shared" si="12"/>
        <v>4814.4173684883453</v>
      </c>
      <c r="J57" s="105">
        <f t="shared" si="12"/>
        <v>4885.1904816424676</v>
      </c>
      <c r="K57" s="105">
        <f t="shared" si="12"/>
        <v>4966.5823182493587</v>
      </c>
      <c r="L57" s="105">
        <f t="shared" si="12"/>
        <v>5074.1205404602288</v>
      </c>
      <c r="M57" s="105">
        <f t="shared" si="12"/>
        <v>5189.3319926258382</v>
      </c>
      <c r="N57" s="105">
        <f t="shared" si="12"/>
        <v>5288.0548958315421</v>
      </c>
      <c r="O57" s="105">
        <f t="shared" si="12"/>
        <v>5375.8533902788267</v>
      </c>
      <c r="P57" s="105">
        <f t="shared" si="12"/>
        <v>5443.4088204426771</v>
      </c>
      <c r="Q57" s="105">
        <f t="shared" si="12"/>
        <v>5472.3065152636145</v>
      </c>
      <c r="R57" s="105">
        <f t="shared" si="12"/>
        <v>5546.6971820985063</v>
      </c>
      <c r="S57" s="105">
        <f t="shared" si="12"/>
        <v>5551.3858230000014</v>
      </c>
      <c r="T57" s="105">
        <f t="shared" si="12"/>
        <v>5680.3920209999997</v>
      </c>
      <c r="U57" s="105">
        <f t="shared" si="12"/>
        <v>5783.1480439999996</v>
      </c>
      <c r="V57" s="105">
        <f>V53+V54+V55+V56</f>
        <v>5769.8332754000003</v>
      </c>
      <c r="Y57" s="106">
        <f>V57/U57-1</f>
        <v>-2.3023392274754695E-3</v>
      </c>
    </row>
    <row r="58" spans="1:32" s="98" customFormat="1" x14ac:dyDescent="0.2">
      <c r="A58" s="44" t="s">
        <v>165</v>
      </c>
      <c r="B58" s="44"/>
      <c r="D58" s="107">
        <f t="shared" ref="D58:T58" si="13">(D54+D55+D56)/D57</f>
        <v>0.23484263636594424</v>
      </c>
      <c r="E58" s="108">
        <f t="shared" si="13"/>
        <v>0.21831926386687656</v>
      </c>
      <c r="F58" s="108">
        <f t="shared" si="13"/>
        <v>0.21013423840634984</v>
      </c>
      <c r="G58" s="108">
        <f t="shared" si="13"/>
        <v>0.20093688427580464</v>
      </c>
      <c r="H58" s="108">
        <f t="shared" si="13"/>
        <v>0.19253656012371775</v>
      </c>
      <c r="I58" s="108">
        <f t="shared" si="13"/>
        <v>0.19138761816108557</v>
      </c>
      <c r="J58" s="108">
        <f t="shared" si="13"/>
        <v>0.18928360830908211</v>
      </c>
      <c r="K58" s="108">
        <f t="shared" si="13"/>
        <v>0.18675625587462355</v>
      </c>
      <c r="L58" s="108">
        <f t="shared" si="13"/>
        <v>0.18458944321320273</v>
      </c>
      <c r="M58" s="108">
        <f t="shared" si="13"/>
        <v>0.18284337829496244</v>
      </c>
      <c r="N58" s="108">
        <f t="shared" si="13"/>
        <v>0.1826951117495203</v>
      </c>
      <c r="O58" s="108">
        <f t="shared" si="13"/>
        <v>0.18049845612112173</v>
      </c>
      <c r="P58" s="108">
        <f t="shared" si="13"/>
        <v>0.17689782498540454</v>
      </c>
      <c r="Q58" s="108">
        <f t="shared" si="13"/>
        <v>0.17566399124068544</v>
      </c>
      <c r="R58" s="108">
        <f t="shared" si="13"/>
        <v>0.17607952084541306</v>
      </c>
      <c r="S58" s="108">
        <f t="shared" si="13"/>
        <v>0.17794931833185967</v>
      </c>
      <c r="T58" s="108">
        <f t="shared" si="13"/>
        <v>0.1761979485394394</v>
      </c>
      <c r="U58" s="108">
        <f>(U54+U55+U56)/U57</f>
        <v>0.17692523798721554</v>
      </c>
      <c r="V58" s="107">
        <f>(V54+V55+V56)/V57</f>
        <v>0.18109366866022014</v>
      </c>
      <c r="Y58" s="109"/>
    </row>
    <row r="59" spans="1:32" s="98" customFormat="1" x14ac:dyDescent="0.2">
      <c r="A59" s="44"/>
      <c r="B59" s="44"/>
      <c r="D59" s="105"/>
      <c r="E59" s="105"/>
      <c r="F59" s="105"/>
      <c r="G59" s="105"/>
      <c r="H59" s="105"/>
      <c r="I59" s="105"/>
      <c r="J59" s="105"/>
      <c r="K59" s="105"/>
      <c r="L59" s="105"/>
      <c r="M59" s="105"/>
      <c r="N59" s="105"/>
      <c r="O59" s="105"/>
      <c r="P59" s="105"/>
      <c r="Q59" s="105"/>
      <c r="R59" s="105"/>
      <c r="S59" s="105"/>
      <c r="T59" s="105"/>
      <c r="U59" s="108"/>
      <c r="Y59" s="109"/>
    </row>
    <row r="60" spans="1:32" s="98" customFormat="1" x14ac:dyDescent="0.2">
      <c r="A60" s="98" t="s">
        <v>166</v>
      </c>
      <c r="B60" s="44"/>
      <c r="D60" s="105"/>
      <c r="E60" s="105"/>
      <c r="F60" s="105"/>
      <c r="G60" s="105"/>
      <c r="H60" s="105"/>
      <c r="I60" s="105"/>
      <c r="J60" s="105"/>
      <c r="K60" s="105"/>
      <c r="L60" s="105"/>
      <c r="M60" s="105"/>
      <c r="N60" s="105"/>
      <c r="O60" s="105"/>
      <c r="P60" s="105"/>
      <c r="Q60" s="105"/>
      <c r="R60" s="105"/>
      <c r="S60" s="105"/>
      <c r="T60" s="105"/>
      <c r="U60" s="105"/>
      <c r="Y60" s="109"/>
    </row>
    <row r="61" spans="1:32" s="30" customFormat="1" x14ac:dyDescent="0.2">
      <c r="A61" s="30" t="s">
        <v>132</v>
      </c>
      <c r="B61" s="44" t="s">
        <v>167</v>
      </c>
      <c r="C61" s="31" t="s">
        <v>101</v>
      </c>
      <c r="D61" s="103">
        <v>1123.9610554361116</v>
      </c>
      <c r="E61" s="103">
        <v>1130.4054503523312</v>
      </c>
      <c r="F61" s="103">
        <v>1150.9414324053419</v>
      </c>
      <c r="G61" s="103">
        <v>1150.8779330753596</v>
      </c>
      <c r="H61" s="103">
        <v>1223.3002865742326</v>
      </c>
      <c r="I61" s="103">
        <v>1288.6600000000001</v>
      </c>
      <c r="J61" s="103">
        <v>1302.5789999999997</v>
      </c>
      <c r="K61" s="103">
        <v>1351.6780000000001</v>
      </c>
      <c r="L61" s="103">
        <v>1414.2039999999997</v>
      </c>
      <c r="M61" s="103">
        <v>1469.9409999999998</v>
      </c>
      <c r="N61" s="103">
        <v>1518.7060000000001</v>
      </c>
      <c r="O61" s="103">
        <v>1556.2670000000003</v>
      </c>
      <c r="P61" s="103">
        <v>1605.8980000000001</v>
      </c>
      <c r="Q61" s="103">
        <v>1625.4370000000001</v>
      </c>
      <c r="R61" s="103">
        <v>1747.2860000000001</v>
      </c>
      <c r="S61" s="103">
        <v>1800.2540000000001</v>
      </c>
      <c r="T61" s="103">
        <v>1854.2739999999999</v>
      </c>
      <c r="U61" s="103">
        <v>1914.9339999999997</v>
      </c>
      <c r="V61" s="103">
        <v>1877.729</v>
      </c>
      <c r="W61" s="98"/>
      <c r="X61" s="100" t="s">
        <v>158</v>
      </c>
      <c r="Y61" s="110"/>
    </row>
    <row r="62" spans="1:32" s="30" customFormat="1" x14ac:dyDescent="0.2">
      <c r="A62" s="30" t="s">
        <v>162</v>
      </c>
      <c r="B62" s="44" t="s">
        <v>167</v>
      </c>
      <c r="C62" s="31" t="s">
        <v>101</v>
      </c>
      <c r="D62" s="103">
        <v>471.91264477388302</v>
      </c>
      <c r="E62" s="103">
        <v>415.24792583211331</v>
      </c>
      <c r="F62" s="103">
        <v>377.7626597063994</v>
      </c>
      <c r="G62" s="103">
        <v>360.56824683403244</v>
      </c>
      <c r="H62" s="103">
        <v>373.21639146939634</v>
      </c>
      <c r="I62" s="103">
        <v>386.14406800000006</v>
      </c>
      <c r="J62" s="103">
        <v>392.14600000000007</v>
      </c>
      <c r="K62" s="103">
        <v>409.53699999999992</v>
      </c>
      <c r="L62" s="103">
        <v>392.50652500000001</v>
      </c>
      <c r="M62" s="103">
        <v>383.62501500293985</v>
      </c>
      <c r="N62" s="103">
        <v>403.67575464222409</v>
      </c>
      <c r="O62" s="103">
        <v>385.9743022522569</v>
      </c>
      <c r="P62" s="103">
        <v>383.777192553031</v>
      </c>
      <c r="Q62" s="103">
        <v>391.88826875462399</v>
      </c>
      <c r="R62" s="103">
        <v>416.271370260433</v>
      </c>
      <c r="S62" s="103">
        <v>414.13418045013304</v>
      </c>
      <c r="T62" s="103">
        <v>440.39892025294506</v>
      </c>
      <c r="U62" s="103">
        <v>453.08499999999998</v>
      </c>
      <c r="V62" s="103">
        <v>442.73899999999998</v>
      </c>
      <c r="W62" s="98"/>
      <c r="X62" s="100" t="s">
        <v>158</v>
      </c>
      <c r="Y62" s="110"/>
    </row>
    <row r="63" spans="1:32" s="30" customFormat="1" x14ac:dyDescent="0.2">
      <c r="A63" s="30" t="s">
        <v>168</v>
      </c>
      <c r="B63" s="44" t="s">
        <v>167</v>
      </c>
      <c r="C63" s="31" t="s">
        <v>101</v>
      </c>
      <c r="D63" s="103">
        <v>118.33522714499999</v>
      </c>
      <c r="E63" s="103">
        <v>116.70840167300001</v>
      </c>
      <c r="F63" s="103">
        <v>115.05673840299998</v>
      </c>
      <c r="G63" s="103">
        <v>109.08724280999999</v>
      </c>
      <c r="H63" s="103">
        <v>118.78323084900002</v>
      </c>
      <c r="I63" s="103">
        <v>122.08520799999998</v>
      </c>
      <c r="J63" s="103">
        <v>119.75649199999998</v>
      </c>
      <c r="K63" s="103">
        <v>127.84812699999999</v>
      </c>
      <c r="L63" s="103">
        <v>131.01135455100001</v>
      </c>
      <c r="M63" s="103">
        <v>128.726899</v>
      </c>
      <c r="N63" s="103">
        <v>133.86134960000001</v>
      </c>
      <c r="O63" s="103">
        <v>132.5287596</v>
      </c>
      <c r="P63" s="103">
        <v>132.504278</v>
      </c>
      <c r="Q63" s="103">
        <v>123.5149852</v>
      </c>
      <c r="R63" s="103">
        <v>136.73445100000004</v>
      </c>
      <c r="S63" s="103">
        <v>138.66237439999995</v>
      </c>
      <c r="T63" s="103">
        <v>138.46056909999999</v>
      </c>
      <c r="U63" s="103">
        <v>146.96835187899998</v>
      </c>
      <c r="V63" s="103">
        <v>145.27061440000003</v>
      </c>
      <c r="W63" s="98"/>
      <c r="X63" s="100" t="s">
        <v>158</v>
      </c>
      <c r="Y63" s="110"/>
    </row>
    <row r="64" spans="1:32" s="98" customFormat="1" x14ac:dyDescent="0.2">
      <c r="A64" s="30" t="s">
        <v>164</v>
      </c>
      <c r="B64" s="44" t="s">
        <v>167</v>
      </c>
      <c r="C64" s="31" t="s">
        <v>101</v>
      </c>
      <c r="D64" s="111">
        <f>SUM(D61:D63)</f>
        <v>1714.2089273549948</v>
      </c>
      <c r="E64" s="111">
        <f t="shared" ref="E64:T64" si="14">SUM(E61:E63)</f>
        <v>1662.3617778574444</v>
      </c>
      <c r="F64" s="111">
        <f t="shared" si="14"/>
        <v>1643.7608305147414</v>
      </c>
      <c r="G64" s="111">
        <f t="shared" si="14"/>
        <v>1620.5334227193919</v>
      </c>
      <c r="H64" s="111">
        <f t="shared" si="14"/>
        <v>1715.299908892629</v>
      </c>
      <c r="I64" s="111">
        <f t="shared" si="14"/>
        <v>1796.8892760000001</v>
      </c>
      <c r="J64" s="111">
        <f t="shared" si="14"/>
        <v>1814.4814919999999</v>
      </c>
      <c r="K64" s="111">
        <f t="shared" si="14"/>
        <v>1889.0631270000001</v>
      </c>
      <c r="L64" s="111">
        <f t="shared" si="14"/>
        <v>1937.7218795509998</v>
      </c>
      <c r="M64" s="111">
        <f t="shared" si="14"/>
        <v>1982.2929140029396</v>
      </c>
      <c r="N64" s="111">
        <f t="shared" si="14"/>
        <v>2056.243104242224</v>
      </c>
      <c r="O64" s="111">
        <f t="shared" si="14"/>
        <v>2074.7700618522572</v>
      </c>
      <c r="P64" s="111">
        <f t="shared" si="14"/>
        <v>2122.179470553031</v>
      </c>
      <c r="Q64" s="111">
        <f t="shared" si="14"/>
        <v>2140.8402539546241</v>
      </c>
      <c r="R64" s="111">
        <f t="shared" si="14"/>
        <v>2300.2918212604327</v>
      </c>
      <c r="S64" s="111">
        <f t="shared" si="14"/>
        <v>2353.0505548501333</v>
      </c>
      <c r="T64" s="111">
        <f t="shared" si="14"/>
        <v>2433.1334893529452</v>
      </c>
      <c r="U64" s="111">
        <f>SUM(U61:U63)</f>
        <v>2514.9873518789996</v>
      </c>
      <c r="V64" s="111">
        <f>SUM(V61:V63)</f>
        <v>2465.7386143999997</v>
      </c>
      <c r="W64" s="112"/>
      <c r="X64" s="100" t="s">
        <v>158</v>
      </c>
      <c r="Y64" s="106">
        <f>V64/U64-1</f>
        <v>-1.9582101453593848E-2</v>
      </c>
      <c r="Z64" s="112"/>
      <c r="AA64" s="112"/>
      <c r="AB64" s="112"/>
      <c r="AC64" s="112"/>
      <c r="AD64" s="112"/>
      <c r="AE64" s="112"/>
      <c r="AF64" s="112"/>
    </row>
    <row r="65" spans="1:32" s="95" customFormat="1" x14ac:dyDescent="0.2">
      <c r="D65" s="113"/>
      <c r="S65" s="67"/>
      <c r="T65" s="67"/>
      <c r="U65" s="67"/>
      <c r="V65" s="112"/>
      <c r="W65" s="112"/>
      <c r="Y65" s="112"/>
      <c r="Z65" s="112"/>
      <c r="AA65" s="112"/>
      <c r="AB65" s="112"/>
      <c r="AC65" s="112"/>
      <c r="AD65" s="112"/>
      <c r="AE65" s="112"/>
      <c r="AF65" s="112"/>
    </row>
    <row r="66" spans="1:32" s="95" customFormat="1" x14ac:dyDescent="0.2">
      <c r="A66" s="114" t="s">
        <v>169</v>
      </c>
      <c r="D66" s="113"/>
      <c r="S66" s="67"/>
      <c r="T66" s="67"/>
      <c r="U66" s="67"/>
      <c r="V66" s="112"/>
      <c r="W66" s="112"/>
      <c r="Y66" s="112"/>
      <c r="Z66" s="112"/>
      <c r="AA66" s="112"/>
      <c r="AB66" s="112"/>
      <c r="AC66" s="112"/>
      <c r="AD66" s="112"/>
      <c r="AE66" s="112"/>
      <c r="AF66" s="112"/>
    </row>
    <row r="67" spans="1:32" s="95" customFormat="1" x14ac:dyDescent="0.2">
      <c r="A67" s="95" t="s">
        <v>170</v>
      </c>
      <c r="B67" s="95" t="s">
        <v>129</v>
      </c>
      <c r="C67" s="31" t="s">
        <v>101</v>
      </c>
      <c r="D67" s="115">
        <f t="shared" ref="D67:U67" si="15">D53/D57</f>
        <v>0.76515736363405562</v>
      </c>
      <c r="E67" s="115">
        <f t="shared" si="15"/>
        <v>0.78168073613312339</v>
      </c>
      <c r="F67" s="115">
        <f t="shared" si="15"/>
        <v>0.78986576159365018</v>
      </c>
      <c r="G67" s="115">
        <f t="shared" si="15"/>
        <v>0.79906311572419553</v>
      </c>
      <c r="H67" s="115">
        <f t="shared" si="15"/>
        <v>0.80746343987628222</v>
      </c>
      <c r="I67" s="115">
        <f t="shared" si="15"/>
        <v>0.80861238183891437</v>
      </c>
      <c r="J67" s="115">
        <f t="shared" si="15"/>
        <v>0.81071639169091803</v>
      </c>
      <c r="K67" s="115">
        <f t="shared" si="15"/>
        <v>0.81324374412537637</v>
      </c>
      <c r="L67" s="115">
        <f t="shared" si="15"/>
        <v>0.8154105567867973</v>
      </c>
      <c r="M67" s="115">
        <f t="shared" si="15"/>
        <v>0.81715662170503767</v>
      </c>
      <c r="N67" s="115">
        <f t="shared" si="15"/>
        <v>0.81730488825047964</v>
      </c>
      <c r="O67" s="115">
        <f t="shared" si="15"/>
        <v>0.81950154387887808</v>
      </c>
      <c r="P67" s="115">
        <f t="shared" si="15"/>
        <v>0.82310217501459537</v>
      </c>
      <c r="Q67" s="115">
        <f t="shared" si="15"/>
        <v>0.82433600875931456</v>
      </c>
      <c r="R67" s="115">
        <f t="shared" si="15"/>
        <v>0.8239204791545871</v>
      </c>
      <c r="S67" s="115">
        <f t="shared" si="15"/>
        <v>0.82205068166814022</v>
      </c>
      <c r="T67" s="115">
        <f t="shared" si="15"/>
        <v>0.82380205146056074</v>
      </c>
      <c r="U67" s="115">
        <f t="shared" si="15"/>
        <v>0.82307476201278451</v>
      </c>
      <c r="V67" s="115">
        <f>V53/V57</f>
        <v>0.81890633133977997</v>
      </c>
      <c r="W67" s="112"/>
      <c r="Y67" s="112"/>
      <c r="Z67" s="112"/>
      <c r="AA67" s="112"/>
      <c r="AB67" s="112"/>
      <c r="AC67" s="112"/>
      <c r="AD67" s="112"/>
      <c r="AE67" s="112"/>
      <c r="AF67" s="112"/>
    </row>
    <row r="68" spans="1:32" s="95" customFormat="1" x14ac:dyDescent="0.2">
      <c r="A68" s="30" t="s">
        <v>161</v>
      </c>
      <c r="B68" s="95" t="s">
        <v>129</v>
      </c>
      <c r="C68" s="31" t="s">
        <v>101</v>
      </c>
      <c r="D68" s="115">
        <f t="shared" ref="D68:U70" si="16">D54/D$57</f>
        <v>0.12714801795005215</v>
      </c>
      <c r="E68" s="115">
        <f t="shared" si="16"/>
        <v>0.1172962916763604</v>
      </c>
      <c r="F68" s="115">
        <f t="shared" si="16"/>
        <v>0.11266411225790371</v>
      </c>
      <c r="G68" s="115">
        <f t="shared" si="16"/>
        <v>0.10967912716128281</v>
      </c>
      <c r="H68" s="115">
        <f t="shared" si="16"/>
        <v>0.10540111573609727</v>
      </c>
      <c r="I68" s="115">
        <f t="shared" si="16"/>
        <v>0.10381457292417456</v>
      </c>
      <c r="J68" s="115">
        <f t="shared" si="16"/>
        <v>0.10311724456506804</v>
      </c>
      <c r="K68" s="115">
        <f t="shared" si="16"/>
        <v>0.10158011806138527</v>
      </c>
      <c r="L68" s="115">
        <f t="shared" si="16"/>
        <v>0.10100304422680197</v>
      </c>
      <c r="M68" s="115">
        <f t="shared" si="16"/>
        <v>9.9271842957414175E-2</v>
      </c>
      <c r="N68" s="115">
        <f t="shared" si="16"/>
        <v>9.8003763262757754E-2</v>
      </c>
      <c r="O68" s="115">
        <f t="shared" si="16"/>
        <v>9.6688207018210195E-2</v>
      </c>
      <c r="P68" s="115">
        <f t="shared" si="16"/>
        <v>9.5318987848956094E-2</v>
      </c>
      <c r="Q68" s="115">
        <f t="shared" si="16"/>
        <v>9.5039882673414108E-2</v>
      </c>
      <c r="R68" s="115">
        <f t="shared" si="16"/>
        <v>9.4994796007443247E-2</v>
      </c>
      <c r="S68" s="115">
        <f t="shared" si="16"/>
        <v>9.5201072184602123E-2</v>
      </c>
      <c r="T68" s="115">
        <f t="shared" si="16"/>
        <v>9.2923247559079006E-2</v>
      </c>
      <c r="U68" s="115">
        <f t="shared" si="16"/>
        <v>9.3713952656336322E-2</v>
      </c>
      <c r="V68" s="115">
        <f>V54/V$57</f>
        <v>9.4755337616249907E-2</v>
      </c>
      <c r="W68" s="112"/>
      <c r="Y68" s="112"/>
      <c r="Z68" s="112"/>
      <c r="AA68" s="112"/>
      <c r="AB68" s="112"/>
      <c r="AC68" s="112"/>
      <c r="AD68" s="112"/>
      <c r="AE68" s="112"/>
      <c r="AF68" s="112"/>
    </row>
    <row r="69" spans="1:32" s="95" customFormat="1" x14ac:dyDescent="0.2">
      <c r="A69" s="30" t="s">
        <v>162</v>
      </c>
      <c r="B69" s="95" t="s">
        <v>129</v>
      </c>
      <c r="C69" s="31" t="s">
        <v>101</v>
      </c>
      <c r="D69" s="115">
        <f t="shared" si="16"/>
        <v>9.148472984623264E-2</v>
      </c>
      <c r="E69" s="115">
        <f t="shared" si="16"/>
        <v>8.5305995260958833E-2</v>
      </c>
      <c r="F69" s="115">
        <f t="shared" si="16"/>
        <v>8.1931981291156461E-2</v>
      </c>
      <c r="G69" s="115">
        <f t="shared" si="16"/>
        <v>7.5833568149884525E-2</v>
      </c>
      <c r="H69" s="115">
        <f t="shared" si="16"/>
        <v>7.2161616805410472E-2</v>
      </c>
      <c r="I69" s="115">
        <f t="shared" si="16"/>
        <v>7.2807293836691087E-2</v>
      </c>
      <c r="J69" s="115">
        <f t="shared" si="16"/>
        <v>7.1438729218735467E-2</v>
      </c>
      <c r="K69" s="115">
        <f t="shared" si="16"/>
        <v>7.0578030834603525E-2</v>
      </c>
      <c r="L69" s="115">
        <f t="shared" si="16"/>
        <v>6.9096348264560528E-2</v>
      </c>
      <c r="M69" s="115">
        <f t="shared" si="16"/>
        <v>6.9103248840039252E-2</v>
      </c>
      <c r="N69" s="115">
        <f t="shared" si="16"/>
        <v>7.0102922020007966E-2</v>
      </c>
      <c r="O69" s="115">
        <f t="shared" si="16"/>
        <v>6.9335847155732669E-2</v>
      </c>
      <c r="P69" s="115">
        <f t="shared" si="16"/>
        <v>6.7158330755372267E-2</v>
      </c>
      <c r="Q69" s="115">
        <f t="shared" si="16"/>
        <v>6.6130581865363039E-2</v>
      </c>
      <c r="R69" s="115">
        <f t="shared" si="16"/>
        <v>6.6312766124514158E-2</v>
      </c>
      <c r="S69" s="115">
        <f t="shared" si="16"/>
        <v>6.7905278252896523E-2</v>
      </c>
      <c r="T69" s="115">
        <f t="shared" si="16"/>
        <v>6.8459872058537985E-2</v>
      </c>
      <c r="U69" s="115">
        <f t="shared" si="16"/>
        <v>6.8353455763616636E-2</v>
      </c>
      <c r="V69" s="115">
        <f>V55/V$57</f>
        <v>7.0920200024606792E-2</v>
      </c>
      <c r="W69" s="112"/>
      <c r="Y69" s="112"/>
      <c r="Z69" s="112"/>
      <c r="AA69" s="112"/>
      <c r="AB69" s="112"/>
      <c r="AC69" s="112"/>
      <c r="AD69" s="112"/>
      <c r="AE69" s="112"/>
      <c r="AF69" s="112"/>
    </row>
    <row r="70" spans="1:32" s="95" customFormat="1" x14ac:dyDescent="0.2">
      <c r="A70" s="30" t="s">
        <v>163</v>
      </c>
      <c r="B70" s="95" t="s">
        <v>129</v>
      </c>
      <c r="C70" s="31" t="s">
        <v>101</v>
      </c>
      <c r="D70" s="115">
        <f t="shared" si="16"/>
        <v>1.6209888569659426E-2</v>
      </c>
      <c r="E70" s="115">
        <f t="shared" si="16"/>
        <v>1.5716976929557341E-2</v>
      </c>
      <c r="F70" s="115">
        <f t="shared" si="16"/>
        <v>1.5538144857289677E-2</v>
      </c>
      <c r="G70" s="115">
        <f t="shared" si="16"/>
        <v>1.5424188964637301E-2</v>
      </c>
      <c r="H70" s="115">
        <f t="shared" si="16"/>
        <v>1.4973827582210017E-2</v>
      </c>
      <c r="I70" s="115">
        <f t="shared" si="16"/>
        <v>1.4765751400219945E-2</v>
      </c>
      <c r="J70" s="115">
        <f t="shared" si="16"/>
        <v>1.47276345252786E-2</v>
      </c>
      <c r="K70" s="115">
        <f t="shared" si="16"/>
        <v>1.4598106978634768E-2</v>
      </c>
      <c r="L70" s="115">
        <f t="shared" si="16"/>
        <v>1.4490050721840213E-2</v>
      </c>
      <c r="M70" s="115">
        <f t="shared" si="16"/>
        <v>1.4468286497509022E-2</v>
      </c>
      <c r="N70" s="115">
        <f t="shared" si="16"/>
        <v>1.4588426466754581E-2</v>
      </c>
      <c r="O70" s="115">
        <f t="shared" si="16"/>
        <v>1.4474401947178873E-2</v>
      </c>
      <c r="P70" s="115">
        <f t="shared" si="16"/>
        <v>1.4420506381076181E-2</v>
      </c>
      <c r="Q70" s="115">
        <f t="shared" si="16"/>
        <v>1.4493526701908305E-2</v>
      </c>
      <c r="R70" s="115">
        <f t="shared" si="16"/>
        <v>1.4771958713455663E-2</v>
      </c>
      <c r="S70" s="115">
        <f t="shared" si="16"/>
        <v>1.4842967894361028E-2</v>
      </c>
      <c r="T70" s="115">
        <f t="shared" si="16"/>
        <v>1.48148289218224E-2</v>
      </c>
      <c r="U70" s="115">
        <f t="shared" si="16"/>
        <v>1.4857829567262591E-2</v>
      </c>
      <c r="V70" s="115">
        <f>V56/V$57</f>
        <v>1.5418131019363424E-2</v>
      </c>
      <c r="W70" s="112"/>
      <c r="Y70" s="112"/>
      <c r="Z70" s="112"/>
      <c r="AA70" s="112"/>
      <c r="AB70" s="112"/>
      <c r="AC70" s="112"/>
      <c r="AD70" s="112"/>
      <c r="AE70" s="112"/>
      <c r="AF70" s="112"/>
    </row>
    <row r="71" spans="1:32" s="95" customFormat="1" x14ac:dyDescent="0.2">
      <c r="D71" s="113"/>
      <c r="E71" s="115"/>
      <c r="F71" s="115"/>
      <c r="G71" s="115"/>
      <c r="H71" s="115"/>
      <c r="I71" s="115"/>
      <c r="J71" s="115"/>
      <c r="K71" s="115"/>
      <c r="L71" s="115"/>
      <c r="M71" s="115"/>
      <c r="N71" s="115"/>
      <c r="O71" s="115"/>
      <c r="P71" s="115"/>
      <c r="Q71" s="115"/>
      <c r="R71" s="115"/>
      <c r="S71" s="115"/>
      <c r="T71" s="115"/>
      <c r="U71" s="115"/>
      <c r="V71" s="112"/>
      <c r="W71" s="112"/>
      <c r="Y71" s="112"/>
      <c r="Z71" s="112"/>
      <c r="AA71" s="112"/>
      <c r="AB71" s="112"/>
      <c r="AC71" s="112"/>
      <c r="AD71" s="112"/>
      <c r="AE71" s="112"/>
      <c r="AF71" s="112"/>
    </row>
    <row r="72" spans="1:32" s="95" customFormat="1" x14ac:dyDescent="0.2">
      <c r="A72" s="98" t="s">
        <v>171</v>
      </c>
      <c r="D72" s="113"/>
      <c r="S72" s="67"/>
      <c r="T72" s="67"/>
      <c r="U72" s="67"/>
      <c r="V72" s="112"/>
      <c r="W72" s="112"/>
      <c r="Y72" s="112"/>
      <c r="Z72" s="112"/>
      <c r="AA72" s="112"/>
      <c r="AB72" s="112"/>
      <c r="AC72" s="112"/>
      <c r="AD72" s="112"/>
      <c r="AE72" s="112"/>
      <c r="AF72" s="112"/>
    </row>
    <row r="73" spans="1:32" s="95" customFormat="1" x14ac:dyDescent="0.2">
      <c r="A73" s="30" t="s">
        <v>132</v>
      </c>
      <c r="B73" s="95" t="s">
        <v>129</v>
      </c>
      <c r="C73" s="31" t="s">
        <v>101</v>
      </c>
      <c r="D73" s="116">
        <f t="shared" ref="D73:U75" si="17">D61/D$64</f>
        <v>0.655673318170365</v>
      </c>
      <c r="E73" s="116">
        <f t="shared" si="17"/>
        <v>0.679999663977638</v>
      </c>
      <c r="F73" s="116">
        <f t="shared" si="17"/>
        <v>0.70018789293386807</v>
      </c>
      <c r="G73" s="116">
        <f t="shared" si="17"/>
        <v>0.71018463238116325</v>
      </c>
      <c r="H73" s="116">
        <f t="shared" si="17"/>
        <v>0.7131699128719573</v>
      </c>
      <c r="I73" s="116">
        <f t="shared" si="17"/>
        <v>0.71716160656745997</v>
      </c>
      <c r="J73" s="116">
        <f t="shared" si="17"/>
        <v>0.71787946349578957</v>
      </c>
      <c r="K73" s="116">
        <f t="shared" si="17"/>
        <v>0.7155282323183052</v>
      </c>
      <c r="L73" s="116">
        <f t="shared" si="17"/>
        <v>0.72982816312508825</v>
      </c>
      <c r="M73" s="116">
        <f t="shared" si="17"/>
        <v>0.74153571836751264</v>
      </c>
      <c r="N73" s="116">
        <f t="shared" si="17"/>
        <v>0.73858290241400248</v>
      </c>
      <c r="O73" s="116">
        <f t="shared" si="17"/>
        <v>0.75009131306369359</v>
      </c>
      <c r="P73" s="116">
        <f t="shared" si="17"/>
        <v>0.75672110784367819</v>
      </c>
      <c r="Q73" s="116">
        <f t="shared" si="17"/>
        <v>0.75925188579458192</v>
      </c>
      <c r="R73" s="116">
        <f t="shared" si="17"/>
        <v>0.7595931889383426</v>
      </c>
      <c r="S73" s="116">
        <f t="shared" si="17"/>
        <v>0.7650723849894755</v>
      </c>
      <c r="T73" s="116">
        <f t="shared" si="17"/>
        <v>0.76209299987610457</v>
      </c>
      <c r="U73" s="116">
        <f t="shared" si="17"/>
        <v>0.76140899816824625</v>
      </c>
      <c r="V73" s="116">
        <f>V61/V$64</f>
        <v>0.76152800180602964</v>
      </c>
      <c r="W73" s="112"/>
      <c r="Y73" s="112"/>
      <c r="Z73" s="112"/>
      <c r="AA73" s="112"/>
      <c r="AB73" s="112"/>
      <c r="AC73" s="112"/>
      <c r="AD73" s="112"/>
      <c r="AE73" s="112"/>
      <c r="AF73" s="112"/>
    </row>
    <row r="74" spans="1:32" s="95" customFormat="1" x14ac:dyDescent="0.2">
      <c r="A74" s="30" t="s">
        <v>162</v>
      </c>
      <c r="B74" s="95" t="s">
        <v>129</v>
      </c>
      <c r="C74" s="31" t="s">
        <v>101</v>
      </c>
      <c r="D74" s="116">
        <f t="shared" si="17"/>
        <v>0.27529470722220478</v>
      </c>
      <c r="E74" s="116">
        <f t="shared" si="17"/>
        <v>0.2497939566243581</v>
      </c>
      <c r="F74" s="116">
        <f t="shared" si="17"/>
        <v>0.22981607341750779</v>
      </c>
      <c r="G74" s="116">
        <f t="shared" si="17"/>
        <v>0.22249972865661016</v>
      </c>
      <c r="H74" s="116">
        <f t="shared" si="17"/>
        <v>0.21758083792491953</v>
      </c>
      <c r="I74" s="116">
        <f t="shared" si="17"/>
        <v>0.21489586095120089</v>
      </c>
      <c r="J74" s="116">
        <f t="shared" si="17"/>
        <v>0.21612014326349496</v>
      </c>
      <c r="K74" s="116">
        <f t="shared" si="17"/>
        <v>0.21679370802731246</v>
      </c>
      <c r="L74" s="116">
        <f t="shared" si="17"/>
        <v>0.20256081594689423</v>
      </c>
      <c r="M74" s="116">
        <f t="shared" si="17"/>
        <v>0.19352589735503184</v>
      </c>
      <c r="N74" s="116">
        <f t="shared" si="17"/>
        <v>0.19631713478304333</v>
      </c>
      <c r="O74" s="116">
        <f t="shared" si="17"/>
        <v>0.18603232683417323</v>
      </c>
      <c r="P74" s="116">
        <f t="shared" si="17"/>
        <v>0.18084106357556096</v>
      </c>
      <c r="Q74" s="116">
        <f t="shared" si="17"/>
        <v>0.18305348473839478</v>
      </c>
      <c r="R74" s="116">
        <f t="shared" si="17"/>
        <v>0.1809645917152978</v>
      </c>
      <c r="S74" s="116">
        <f t="shared" si="17"/>
        <v>0.17599884524219642</v>
      </c>
      <c r="T74" s="116">
        <f t="shared" si="17"/>
        <v>0.1810007228045932</v>
      </c>
      <c r="U74" s="116">
        <f t="shared" si="17"/>
        <v>0.18015398751866116</v>
      </c>
      <c r="V74" s="116">
        <f>V62/V$64</f>
        <v>0.17955633959511716</v>
      </c>
      <c r="W74" s="112"/>
      <c r="Y74" s="112"/>
      <c r="Z74" s="112"/>
      <c r="AA74" s="112"/>
      <c r="AB74" s="112"/>
      <c r="AC74" s="112"/>
      <c r="AD74" s="112"/>
      <c r="AE74" s="112"/>
      <c r="AF74" s="112"/>
    </row>
    <row r="75" spans="1:32" s="95" customFormat="1" x14ac:dyDescent="0.2">
      <c r="A75" s="30" t="s">
        <v>168</v>
      </c>
      <c r="B75" s="95" t="s">
        <v>129</v>
      </c>
      <c r="C75" s="31" t="s">
        <v>101</v>
      </c>
      <c r="D75" s="116">
        <f t="shared" si="17"/>
        <v>6.9031974607430102E-2</v>
      </c>
      <c r="E75" s="116">
        <f t="shared" si="17"/>
        <v>7.0206379398003893E-2</v>
      </c>
      <c r="F75" s="116">
        <f t="shared" si="17"/>
        <v>6.9996033648624001E-2</v>
      </c>
      <c r="G75" s="116">
        <f t="shared" si="17"/>
        <v>6.7315638962226643E-2</v>
      </c>
      <c r="H75" s="116">
        <f t="shared" si="17"/>
        <v>6.9249249203123101E-2</v>
      </c>
      <c r="I75" s="116">
        <f t="shared" si="17"/>
        <v>6.7942532481339135E-2</v>
      </c>
      <c r="J75" s="116">
        <f t="shared" si="17"/>
        <v>6.6000393240715396E-2</v>
      </c>
      <c r="K75" s="116">
        <f t="shared" si="17"/>
        <v>6.7678059654382311E-2</v>
      </c>
      <c r="L75" s="116">
        <f t="shared" si="17"/>
        <v>6.7611020928017476E-2</v>
      </c>
      <c r="M75" s="116">
        <f t="shared" si="17"/>
        <v>6.4938384277455533E-2</v>
      </c>
      <c r="N75" s="116">
        <f t="shared" si="17"/>
        <v>6.509996280295427E-2</v>
      </c>
      <c r="O75" s="116">
        <f t="shared" si="17"/>
        <v>6.3876360102133226E-2</v>
      </c>
      <c r="P75" s="116">
        <f t="shared" si="17"/>
        <v>6.2437828580760864E-2</v>
      </c>
      <c r="Q75" s="116">
        <f t="shared" si="17"/>
        <v>5.7694629467023251E-2</v>
      </c>
      <c r="R75" s="116">
        <f t="shared" si="17"/>
        <v>5.9442219346359765E-2</v>
      </c>
      <c r="S75" s="116">
        <f t="shared" si="17"/>
        <v>5.8928769768327997E-2</v>
      </c>
      <c r="T75" s="116">
        <f t="shared" si="17"/>
        <v>5.6906277319302145E-2</v>
      </c>
      <c r="U75" s="116">
        <f t="shared" si="17"/>
        <v>5.843701431309261E-2</v>
      </c>
      <c r="V75" s="116">
        <f>V63/V$64</f>
        <v>5.8915658598853324E-2</v>
      </c>
      <c r="W75" s="112"/>
      <c r="Y75" s="112"/>
      <c r="Z75" s="112"/>
      <c r="AA75" s="112"/>
      <c r="AB75" s="112"/>
      <c r="AC75" s="112"/>
      <c r="AD75" s="112"/>
      <c r="AE75" s="112"/>
      <c r="AF75" s="112"/>
    </row>
    <row r="76" spans="1:32" s="95" customFormat="1" x14ac:dyDescent="0.2">
      <c r="C76" s="31"/>
      <c r="D76" s="113"/>
      <c r="I76" s="117"/>
      <c r="J76" s="117"/>
      <c r="K76" s="117"/>
      <c r="L76" s="117"/>
      <c r="M76" s="117"/>
      <c r="N76" s="117"/>
      <c r="O76" s="117"/>
      <c r="P76" s="117"/>
      <c r="Q76" s="117"/>
      <c r="R76" s="117"/>
      <c r="S76" s="117"/>
      <c r="T76" s="117"/>
      <c r="U76" s="117"/>
      <c r="V76" s="117"/>
      <c r="W76" s="112"/>
      <c r="Y76" s="112"/>
      <c r="Z76" s="112"/>
      <c r="AA76" s="112"/>
      <c r="AB76" s="112"/>
      <c r="AC76" s="112"/>
      <c r="AD76" s="112"/>
      <c r="AE76" s="112"/>
      <c r="AF76" s="112"/>
    </row>
    <row r="77" spans="1:32" s="95" customFormat="1" x14ac:dyDescent="0.2">
      <c r="A77" s="98" t="s">
        <v>172</v>
      </c>
      <c r="D77" s="118"/>
      <c r="E77" s="118"/>
      <c r="F77" s="118"/>
      <c r="G77" s="118"/>
      <c r="H77" s="118"/>
      <c r="I77" s="118"/>
      <c r="J77" s="118"/>
      <c r="K77" s="118"/>
      <c r="L77" s="118"/>
      <c r="M77" s="118"/>
      <c r="N77" s="118"/>
      <c r="O77" s="118"/>
      <c r="P77" s="118"/>
      <c r="Q77" s="118"/>
      <c r="R77" s="118"/>
      <c r="S77" s="118"/>
      <c r="T77" s="118"/>
      <c r="U77" s="118"/>
      <c r="V77" s="118"/>
      <c r="W77" s="112"/>
      <c r="Y77" s="112"/>
      <c r="Z77" s="112"/>
      <c r="AA77" s="112"/>
      <c r="AB77" s="112"/>
      <c r="AC77" s="112"/>
      <c r="AD77" s="112"/>
      <c r="AE77" s="112"/>
      <c r="AF77" s="112"/>
    </row>
    <row r="78" spans="1:32" s="95" customFormat="1" x14ac:dyDescent="0.2">
      <c r="A78" s="30" t="s">
        <v>173</v>
      </c>
      <c r="B78" s="95" t="s">
        <v>119</v>
      </c>
      <c r="C78" s="31" t="s">
        <v>101</v>
      </c>
      <c r="D78" s="118">
        <f t="shared" ref="D78:U78" si="18">D25+D30+D79</f>
        <v>152.20377687182798</v>
      </c>
      <c r="E78" s="118">
        <f t="shared" si="18"/>
        <v>157.7663070642669</v>
      </c>
      <c r="F78" s="118">
        <f t="shared" si="18"/>
        <v>162.99332067061601</v>
      </c>
      <c r="G78" s="118">
        <f t="shared" si="18"/>
        <v>164.46907723650648</v>
      </c>
      <c r="H78" s="118">
        <f t="shared" si="18"/>
        <v>164.73406171954019</v>
      </c>
      <c r="I78" s="118">
        <f t="shared" si="18"/>
        <v>167.35319423603886</v>
      </c>
      <c r="J78" s="118">
        <f t="shared" si="18"/>
        <v>170.22075411932767</v>
      </c>
      <c r="K78" s="118">
        <f t="shared" si="18"/>
        <v>172.08369016999166</v>
      </c>
      <c r="L78" s="118">
        <f t="shared" si="18"/>
        <v>174.66076892031845</v>
      </c>
      <c r="M78" s="118">
        <f t="shared" si="18"/>
        <v>177.34487217462097</v>
      </c>
      <c r="N78" s="118">
        <f t="shared" si="18"/>
        <v>175.01669803320115</v>
      </c>
      <c r="O78" s="118">
        <f t="shared" si="18"/>
        <v>177.201448581622</v>
      </c>
      <c r="P78" s="118">
        <f t="shared" si="18"/>
        <v>179.02409270136363</v>
      </c>
      <c r="Q78" s="118">
        <f t="shared" si="18"/>
        <v>179.27863239082083</v>
      </c>
      <c r="R78" s="118">
        <f t="shared" si="18"/>
        <v>181.64169475252609</v>
      </c>
      <c r="S78" s="118">
        <f t="shared" si="18"/>
        <v>180.45831694461421</v>
      </c>
      <c r="T78" s="118">
        <f t="shared" si="18"/>
        <v>180.92278062165423</v>
      </c>
      <c r="U78" s="118">
        <f t="shared" si="18"/>
        <v>182.25450377765358</v>
      </c>
      <c r="V78" s="118">
        <f>V25+V30+V79</f>
        <v>181.65197203815615</v>
      </c>
      <c r="W78" s="112"/>
      <c r="Y78" s="112"/>
      <c r="Z78" s="112"/>
      <c r="AA78" s="112"/>
      <c r="AB78" s="112"/>
      <c r="AC78" s="112"/>
      <c r="AD78" s="112"/>
      <c r="AE78" s="112"/>
      <c r="AF78" s="112"/>
    </row>
    <row r="79" spans="1:32" s="120" customFormat="1" x14ac:dyDescent="0.2">
      <c r="A79" s="119" t="s">
        <v>174</v>
      </c>
      <c r="B79" s="120" t="s">
        <v>119</v>
      </c>
      <c r="C79" s="31" t="s">
        <v>101</v>
      </c>
      <c r="D79" s="121">
        <f t="shared" ref="D79:U79" si="19">D31*(D55*1.7)/(D55*1.7+D62*2.5)</f>
        <v>3.4602141928734742</v>
      </c>
      <c r="E79" s="121">
        <f t="shared" si="19"/>
        <v>3.5447923850838459</v>
      </c>
      <c r="F79" s="121">
        <f t="shared" si="19"/>
        <v>3.8226553074417371</v>
      </c>
      <c r="G79" s="121">
        <f t="shared" si="19"/>
        <v>3.7447228741502174</v>
      </c>
      <c r="H79" s="121">
        <f t="shared" si="19"/>
        <v>3.586709903247896</v>
      </c>
      <c r="I79" s="121">
        <f t="shared" si="19"/>
        <v>3.6007284266367319</v>
      </c>
      <c r="J79" s="121">
        <f t="shared" si="19"/>
        <v>3.656266853644162</v>
      </c>
      <c r="K79" s="121">
        <f t="shared" si="19"/>
        <v>3.5542764464176368</v>
      </c>
      <c r="L79" s="121">
        <f t="shared" si="19"/>
        <v>3.616679968812555</v>
      </c>
      <c r="M79" s="121">
        <f t="shared" si="19"/>
        <v>3.659235598536942</v>
      </c>
      <c r="N79" s="121">
        <f t="shared" si="19"/>
        <v>3.6830593662303199</v>
      </c>
      <c r="O79" s="121">
        <f t="shared" si="19"/>
        <v>3.6796346739356935</v>
      </c>
      <c r="P79" s="121">
        <f t="shared" si="19"/>
        <v>3.6547257273068583</v>
      </c>
      <c r="Q79" s="121">
        <f t="shared" si="19"/>
        <v>3.6096373292491246</v>
      </c>
      <c r="R79" s="121">
        <f t="shared" si="19"/>
        <v>3.5772771313560878</v>
      </c>
      <c r="S79" s="121">
        <f t="shared" si="19"/>
        <v>3.5995904288152971</v>
      </c>
      <c r="T79" s="121">
        <f t="shared" si="19"/>
        <v>3.4002186844151669</v>
      </c>
      <c r="U79" s="121">
        <f t="shared" si="19"/>
        <v>3.4313053666752107</v>
      </c>
      <c r="V79" s="121">
        <f>V31*(V55*1.7)/(V55*1.7+V62*2.5)</f>
        <v>3.5972722984957186</v>
      </c>
      <c r="W79" s="112"/>
      <c r="Y79" s="112"/>
      <c r="Z79" s="112"/>
      <c r="AA79" s="112"/>
      <c r="AB79" s="112"/>
      <c r="AC79" s="112"/>
      <c r="AD79" s="112"/>
      <c r="AE79" s="112"/>
      <c r="AF79" s="112"/>
    </row>
    <row r="80" spans="1:32" s="95" customFormat="1" x14ac:dyDescent="0.2">
      <c r="A80" s="95" t="s">
        <v>175</v>
      </c>
      <c r="B80" s="95" t="s">
        <v>119</v>
      </c>
      <c r="C80" s="31" t="s">
        <v>101</v>
      </c>
      <c r="D80" s="122">
        <f t="shared" ref="D80:U80" si="20">D29+D32+D81</f>
        <v>89.282519650435688</v>
      </c>
      <c r="E80" s="122">
        <f t="shared" si="20"/>
        <v>90.116230164103925</v>
      </c>
      <c r="F80" s="122">
        <f t="shared" si="20"/>
        <v>91.816500283704713</v>
      </c>
      <c r="G80" s="122">
        <f t="shared" si="20"/>
        <v>91.402800522279904</v>
      </c>
      <c r="H80" s="122">
        <f t="shared" si="20"/>
        <v>94.908432609473408</v>
      </c>
      <c r="I80" s="122">
        <f t="shared" si="20"/>
        <v>96.40979910173769</v>
      </c>
      <c r="J80" s="122">
        <f t="shared" si="20"/>
        <v>98.541373200868364</v>
      </c>
      <c r="K80" s="122">
        <f t="shared" si="20"/>
        <v>101.08907471079146</v>
      </c>
      <c r="L80" s="122">
        <f t="shared" si="20"/>
        <v>103.60236723051183</v>
      </c>
      <c r="M80" s="122">
        <f t="shared" si="20"/>
        <v>106.41712239917757</v>
      </c>
      <c r="N80" s="122">
        <f t="shared" si="20"/>
        <v>107.04570740843464</v>
      </c>
      <c r="O80" s="122">
        <f t="shared" si="20"/>
        <v>109.08993567165724</v>
      </c>
      <c r="P80" s="122">
        <f t="shared" si="20"/>
        <v>111.78508585306726</v>
      </c>
      <c r="Q80" s="122">
        <f t="shared" si="20"/>
        <v>115.1566182540621</v>
      </c>
      <c r="R80" s="122">
        <f t="shared" si="20"/>
        <v>119.73177668081027</v>
      </c>
      <c r="S80" s="122">
        <f t="shared" si="20"/>
        <v>122.08370667123837</v>
      </c>
      <c r="T80" s="122">
        <f t="shared" si="20"/>
        <v>126.71610896027073</v>
      </c>
      <c r="U80" s="122">
        <f t="shared" si="20"/>
        <v>131.53773899457909</v>
      </c>
      <c r="V80" s="122">
        <f>V29+V32+V81</f>
        <v>125.35022475160466</v>
      </c>
      <c r="W80" s="112"/>
      <c r="Y80" s="112"/>
      <c r="Z80" s="112"/>
      <c r="AA80" s="112"/>
      <c r="AB80" s="112"/>
      <c r="AC80" s="112"/>
      <c r="AD80" s="112"/>
      <c r="AE80" s="112"/>
      <c r="AF80" s="112"/>
    </row>
    <row r="81" spans="1:33" s="120" customFormat="1" x14ac:dyDescent="0.2">
      <c r="A81" s="119" t="s">
        <v>174</v>
      </c>
      <c r="B81" s="120" t="s">
        <v>119</v>
      </c>
      <c r="C81" s="31" t="s">
        <v>101</v>
      </c>
      <c r="D81" s="121">
        <f t="shared" ref="D81:U81" si="21">D31*(D62*2.5)/(D62*2.5+D55*1.7)</f>
        <v>5.9927858071265252</v>
      </c>
      <c r="E81" s="121">
        <f t="shared" si="21"/>
        <v>5.6172076149161541</v>
      </c>
      <c r="F81" s="121">
        <f t="shared" si="21"/>
        <v>5.672344692558263</v>
      </c>
      <c r="G81" s="121">
        <f t="shared" si="21"/>
        <v>5.6882771258497815</v>
      </c>
      <c r="H81" s="121">
        <f t="shared" si="21"/>
        <v>5.753290096752103</v>
      </c>
      <c r="I81" s="121">
        <f t="shared" si="21"/>
        <v>5.833271573363267</v>
      </c>
      <c r="J81" s="121">
        <f t="shared" si="21"/>
        <v>6.0417331463558375</v>
      </c>
      <c r="K81" s="121">
        <f t="shared" si="21"/>
        <v>6.1067235535823627</v>
      </c>
      <c r="L81" s="121">
        <f t="shared" si="21"/>
        <v>5.9543200311874447</v>
      </c>
      <c r="M81" s="121">
        <f t="shared" si="21"/>
        <v>5.7567644014630588</v>
      </c>
      <c r="N81" s="121">
        <f t="shared" si="21"/>
        <v>5.8979406337696796</v>
      </c>
      <c r="O81" s="121">
        <f t="shared" si="21"/>
        <v>5.6033653260643064</v>
      </c>
      <c r="P81" s="121">
        <f t="shared" si="21"/>
        <v>5.6422742726931432</v>
      </c>
      <c r="Q81" s="121">
        <f t="shared" si="21"/>
        <v>5.7483626707508746</v>
      </c>
      <c r="R81" s="121">
        <f t="shared" si="21"/>
        <v>5.9537228686439132</v>
      </c>
      <c r="S81" s="121">
        <f t="shared" si="21"/>
        <v>5.8154095711847011</v>
      </c>
      <c r="T81" s="121">
        <f t="shared" si="21"/>
        <v>5.6627813155848337</v>
      </c>
      <c r="U81" s="121">
        <f t="shared" si="21"/>
        <v>5.7836946333247887</v>
      </c>
      <c r="V81" s="121">
        <f>V31*(V62*2.5)/(V62*2.5+V55*1.7)</f>
        <v>5.7237277015042816</v>
      </c>
      <c r="W81" s="112"/>
      <c r="Y81" s="112"/>
      <c r="Z81" s="112"/>
      <c r="AA81" s="112"/>
      <c r="AB81" s="112"/>
      <c r="AC81" s="112"/>
      <c r="AD81" s="112"/>
      <c r="AE81" s="112"/>
      <c r="AF81" s="112"/>
      <c r="AG81" s="43" t="s">
        <v>176</v>
      </c>
    </row>
    <row r="82" spans="1:33" s="95" customFormat="1" ht="14.25" customHeight="1" x14ac:dyDescent="0.2">
      <c r="A82" s="95" t="s">
        <v>177</v>
      </c>
      <c r="B82" s="95" t="s">
        <v>129</v>
      </c>
      <c r="C82" s="31" t="s">
        <v>101</v>
      </c>
      <c r="D82" s="115">
        <f t="shared" ref="D82:U82" si="22">(D54+D55+D56)/D57</f>
        <v>0.23484263636594424</v>
      </c>
      <c r="E82" s="115">
        <f t="shared" si="22"/>
        <v>0.21831926386687656</v>
      </c>
      <c r="F82" s="115">
        <f t="shared" si="22"/>
        <v>0.21013423840634984</v>
      </c>
      <c r="G82" s="115">
        <f t="shared" si="22"/>
        <v>0.20093688427580464</v>
      </c>
      <c r="H82" s="115">
        <f t="shared" si="22"/>
        <v>0.19253656012371775</v>
      </c>
      <c r="I82" s="115">
        <f t="shared" si="22"/>
        <v>0.19138761816108557</v>
      </c>
      <c r="J82" s="115">
        <f t="shared" si="22"/>
        <v>0.18928360830908211</v>
      </c>
      <c r="K82" s="115">
        <f t="shared" si="22"/>
        <v>0.18675625587462355</v>
      </c>
      <c r="L82" s="115">
        <f t="shared" si="22"/>
        <v>0.18458944321320273</v>
      </c>
      <c r="M82" s="115">
        <f t="shared" si="22"/>
        <v>0.18284337829496244</v>
      </c>
      <c r="N82" s="115">
        <f t="shared" si="22"/>
        <v>0.1826951117495203</v>
      </c>
      <c r="O82" s="115">
        <f t="shared" si="22"/>
        <v>0.18049845612112173</v>
      </c>
      <c r="P82" s="115">
        <f t="shared" si="22"/>
        <v>0.17689782498540454</v>
      </c>
      <c r="Q82" s="115">
        <f t="shared" si="22"/>
        <v>0.17566399124068544</v>
      </c>
      <c r="R82" s="115">
        <f t="shared" si="22"/>
        <v>0.17607952084541306</v>
      </c>
      <c r="S82" s="115">
        <f t="shared" si="22"/>
        <v>0.17794931833185967</v>
      </c>
      <c r="T82" s="115">
        <f t="shared" si="22"/>
        <v>0.1761979485394394</v>
      </c>
      <c r="U82" s="115">
        <f t="shared" si="22"/>
        <v>0.17692523798721554</v>
      </c>
      <c r="V82" s="115">
        <f>(V54+V55+V56)/V57</f>
        <v>0.18109366866022014</v>
      </c>
      <c r="W82" s="112"/>
      <c r="Y82" s="112"/>
      <c r="Z82" s="112"/>
      <c r="AA82" s="112"/>
      <c r="AB82" s="112"/>
      <c r="AC82" s="112"/>
      <c r="AD82" s="112"/>
      <c r="AE82" s="112"/>
      <c r="AF82" s="112"/>
      <c r="AG82" s="123">
        <f>AB82/7</f>
        <v>0</v>
      </c>
    </row>
    <row r="83" spans="1:33" s="95" customFormat="1" ht="14.25" customHeight="1" x14ac:dyDescent="0.2">
      <c r="A83" s="95" t="s">
        <v>178</v>
      </c>
      <c r="B83" s="95" t="s">
        <v>129</v>
      </c>
      <c r="C83" s="31" t="s">
        <v>101</v>
      </c>
      <c r="D83" s="115">
        <f>(D62+D63)/D64</f>
        <v>0.34432668182963488</v>
      </c>
      <c r="E83" s="115">
        <f>(E62+E63)/E64</f>
        <v>0.320000336022362</v>
      </c>
      <c r="F83" s="115">
        <f t="shared" ref="F83:T83" si="23">(F62+F63)/F64</f>
        <v>0.29981210706613182</v>
      </c>
      <c r="G83" s="115">
        <f t="shared" si="23"/>
        <v>0.28981536761883681</v>
      </c>
      <c r="H83" s="115">
        <f t="shared" si="23"/>
        <v>0.28683008712804264</v>
      </c>
      <c r="I83" s="115">
        <f t="shared" si="23"/>
        <v>0.28283839343254003</v>
      </c>
      <c r="J83" s="115">
        <f t="shared" si="23"/>
        <v>0.28212053650421037</v>
      </c>
      <c r="K83" s="115">
        <f t="shared" si="23"/>
        <v>0.28447176768169474</v>
      </c>
      <c r="L83" s="115">
        <f t="shared" si="23"/>
        <v>0.27017183687491175</v>
      </c>
      <c r="M83" s="115">
        <f t="shared" si="23"/>
        <v>0.25846428163248736</v>
      </c>
      <c r="N83" s="115">
        <f t="shared" si="23"/>
        <v>0.26141709758599763</v>
      </c>
      <c r="O83" s="115">
        <f t="shared" si="23"/>
        <v>0.24990868693630644</v>
      </c>
      <c r="P83" s="115">
        <f t="shared" si="23"/>
        <v>0.24327889215632184</v>
      </c>
      <c r="Q83" s="115">
        <f t="shared" si="23"/>
        <v>0.24074811420541803</v>
      </c>
      <c r="R83" s="115">
        <f t="shared" si="23"/>
        <v>0.24040681106165759</v>
      </c>
      <c r="S83" s="115">
        <f t="shared" si="23"/>
        <v>0.23492761501052445</v>
      </c>
      <c r="T83" s="115">
        <f t="shared" si="23"/>
        <v>0.23790700012389535</v>
      </c>
      <c r="U83" s="115">
        <f>(U62+U63)/U64</f>
        <v>0.23859100183175377</v>
      </c>
      <c r="V83" s="115">
        <f>(V62+V63)/V64</f>
        <v>0.2384719981939705</v>
      </c>
      <c r="W83" s="112"/>
      <c r="Y83" s="112"/>
      <c r="Z83" s="112"/>
      <c r="AA83" s="112"/>
      <c r="AB83" s="112"/>
      <c r="AC83" s="112"/>
      <c r="AD83" s="112"/>
      <c r="AE83" s="112"/>
      <c r="AF83" s="112"/>
      <c r="AG83" s="123">
        <f>AB83/7</f>
        <v>0</v>
      </c>
    </row>
    <row r="84" spans="1:33" s="95" customFormat="1" x14ac:dyDescent="0.2">
      <c r="D84" s="122"/>
      <c r="E84" s="122"/>
      <c r="F84" s="122"/>
      <c r="G84" s="122"/>
      <c r="H84" s="122"/>
      <c r="I84" s="122"/>
      <c r="J84" s="122"/>
      <c r="K84" s="122"/>
      <c r="L84" s="122"/>
      <c r="M84" s="122"/>
      <c r="N84" s="122"/>
      <c r="O84" s="122"/>
      <c r="P84" s="122"/>
      <c r="Q84" s="122"/>
      <c r="R84" s="122"/>
      <c r="S84" s="122"/>
      <c r="T84" s="122"/>
      <c r="U84" s="122"/>
      <c r="V84" s="112"/>
      <c r="W84" s="112"/>
      <c r="Y84" s="112"/>
      <c r="Z84" s="112"/>
      <c r="AA84" s="112"/>
      <c r="AB84" s="112"/>
      <c r="AC84" s="112"/>
      <c r="AD84" s="112"/>
      <c r="AE84" s="112"/>
      <c r="AF84" s="112"/>
      <c r="AG84" s="123">
        <f>AB84/7</f>
        <v>0</v>
      </c>
    </row>
    <row r="85" spans="1:33" s="95" customFormat="1" x14ac:dyDescent="0.2">
      <c r="A85" s="114" t="s">
        <v>179</v>
      </c>
      <c r="D85" s="113"/>
      <c r="E85" s="124"/>
      <c r="F85" s="124"/>
      <c r="G85" s="124"/>
      <c r="H85" s="124"/>
      <c r="I85" s="124"/>
      <c r="J85" s="124"/>
      <c r="K85" s="124"/>
      <c r="L85" s="124"/>
      <c r="M85" s="124"/>
      <c r="N85" s="124"/>
      <c r="O85" s="124"/>
      <c r="P85" s="124"/>
      <c r="Q85" s="124"/>
      <c r="R85" s="124"/>
      <c r="S85" s="124"/>
      <c r="T85" s="124"/>
      <c r="U85" s="124"/>
      <c r="V85" s="112"/>
      <c r="W85" s="112"/>
      <c r="Y85" s="112"/>
      <c r="Z85" s="112"/>
      <c r="AA85" s="112"/>
      <c r="AB85" s="112"/>
      <c r="AC85" s="112"/>
      <c r="AD85" s="112"/>
      <c r="AE85" s="112"/>
      <c r="AF85" s="112"/>
    </row>
    <row r="86" spans="1:33" s="95" customFormat="1" ht="7.5" customHeight="1" x14ac:dyDescent="0.2">
      <c r="B86" s="114"/>
      <c r="D86" s="113"/>
      <c r="S86" s="67"/>
      <c r="T86" s="67"/>
      <c r="U86" s="67"/>
      <c r="V86" s="112"/>
      <c r="W86" s="112"/>
      <c r="Y86" s="112"/>
      <c r="Z86" s="112"/>
      <c r="AA86" s="112"/>
      <c r="AB86" s="112"/>
      <c r="AC86" s="112"/>
      <c r="AD86" s="112"/>
      <c r="AE86" s="112"/>
      <c r="AF86" s="112"/>
    </row>
    <row r="87" spans="1:33" s="114" customFormat="1" x14ac:dyDescent="0.2">
      <c r="A87" s="114" t="s">
        <v>180</v>
      </c>
      <c r="B87" s="114" t="s">
        <v>181</v>
      </c>
      <c r="C87" s="31" t="s">
        <v>101</v>
      </c>
      <c r="D87" s="125">
        <f>D78/D57*1000</f>
        <v>34.749383985544199</v>
      </c>
      <c r="E87" s="125">
        <f t="shared" ref="E87:V87" si="24">E78/E57*1000</f>
        <v>34.924076174514688</v>
      </c>
      <c r="F87" s="125">
        <f t="shared" si="24"/>
        <v>35.670617286629572</v>
      </c>
      <c r="G87" s="125">
        <f t="shared" si="24"/>
        <v>35.729607410357794</v>
      </c>
      <c r="H87" s="125">
        <f t="shared" si="24"/>
        <v>34.742245593035747</v>
      </c>
      <c r="I87" s="125">
        <f t="shared" si="24"/>
        <v>34.76084049783686</v>
      </c>
      <c r="J87" s="125">
        <f t="shared" si="24"/>
        <v>34.844240927550715</v>
      </c>
      <c r="K87" s="125">
        <f t="shared" si="24"/>
        <v>34.648311281921615</v>
      </c>
      <c r="L87" s="125">
        <f t="shared" si="24"/>
        <v>34.421880112543903</v>
      </c>
      <c r="M87" s="125">
        <f t="shared" si="24"/>
        <v>34.174894268979543</v>
      </c>
      <c r="N87" s="125">
        <f t="shared" si="24"/>
        <v>33.096611415884311</v>
      </c>
      <c r="O87" s="125">
        <f t="shared" si="24"/>
        <v>32.962477902030578</v>
      </c>
      <c r="P87" s="125">
        <f t="shared" si="24"/>
        <v>32.888232099900364</v>
      </c>
      <c r="Q87" s="125">
        <f t="shared" si="24"/>
        <v>32.76107284757687</v>
      </c>
      <c r="R87" s="125">
        <f t="shared" si="24"/>
        <v>32.747721533953438</v>
      </c>
      <c r="S87" s="125">
        <f t="shared" si="24"/>
        <v>32.506895160656207</v>
      </c>
      <c r="T87" s="125">
        <f t="shared" si="24"/>
        <v>31.850403977893738</v>
      </c>
      <c r="U87" s="125">
        <f t="shared" si="24"/>
        <v>31.514756736470222</v>
      </c>
      <c r="V87" s="125">
        <f t="shared" si="24"/>
        <v>31.483053906018263</v>
      </c>
      <c r="W87" s="112"/>
      <c r="Y87" s="112"/>
      <c r="Z87" s="112"/>
      <c r="AA87" s="112"/>
      <c r="AB87" s="112"/>
      <c r="AC87" s="112"/>
      <c r="AD87" s="112"/>
      <c r="AE87" s="112"/>
      <c r="AF87" s="112"/>
    </row>
    <row r="88" spans="1:33" s="95" customFormat="1" x14ac:dyDescent="0.2">
      <c r="A88" s="95" t="s">
        <v>170</v>
      </c>
      <c r="B88" s="95" t="s">
        <v>181</v>
      </c>
      <c r="C88" s="31" t="s">
        <v>101</v>
      </c>
      <c r="D88" s="118">
        <f t="shared" ref="D88:V88" si="25">D25/D53*1000</f>
        <v>42.301239452086165</v>
      </c>
      <c r="E88" s="118">
        <f t="shared" si="25"/>
        <v>41.706590535948706</v>
      </c>
      <c r="F88" s="118">
        <f t="shared" si="25"/>
        <v>42.16118022076629</v>
      </c>
      <c r="G88" s="118">
        <f t="shared" si="25"/>
        <v>41.801192673596482</v>
      </c>
      <c r="H88" s="118">
        <f t="shared" si="25"/>
        <v>40.273558533887972</v>
      </c>
      <c r="I88" s="118">
        <f t="shared" si="25"/>
        <v>40.290314252435159</v>
      </c>
      <c r="J88" s="118">
        <f t="shared" si="25"/>
        <v>40.343310660331142</v>
      </c>
      <c r="K88" s="118">
        <f t="shared" si="25"/>
        <v>40.051181901981963</v>
      </c>
      <c r="L88" s="118">
        <f t="shared" si="25"/>
        <v>39.716937588728555</v>
      </c>
      <c r="M88" s="118">
        <f t="shared" si="25"/>
        <v>39.473704145348172</v>
      </c>
      <c r="N88" s="118">
        <f t="shared" si="25"/>
        <v>38.172768007396698</v>
      </c>
      <c r="O88" s="118">
        <f t="shared" si="25"/>
        <v>37.975513326183268</v>
      </c>
      <c r="P88" s="118">
        <f t="shared" si="25"/>
        <v>37.765449934187828</v>
      </c>
      <c r="Q88" s="118">
        <f t="shared" si="25"/>
        <v>37.557357734293717</v>
      </c>
      <c r="R88" s="118">
        <f t="shared" si="25"/>
        <v>37.60086925681258</v>
      </c>
      <c r="S88" s="118">
        <f t="shared" si="25"/>
        <v>37.398073926402645</v>
      </c>
      <c r="T88" s="118">
        <f t="shared" si="25"/>
        <v>36.57893563213154</v>
      </c>
      <c r="U88" s="118">
        <f t="shared" si="25"/>
        <v>36.221794953765588</v>
      </c>
      <c r="V88" s="118">
        <f t="shared" si="25"/>
        <v>36.305605594020655</v>
      </c>
      <c r="W88" s="112"/>
      <c r="Y88" s="112"/>
      <c r="Z88" s="112"/>
      <c r="AA88" s="112"/>
      <c r="AB88" s="112"/>
      <c r="AC88" s="112"/>
      <c r="AD88" s="112"/>
      <c r="AE88" s="112"/>
      <c r="AF88" s="112"/>
    </row>
    <row r="89" spans="1:33" s="95" customFormat="1" x14ac:dyDescent="0.2">
      <c r="A89" s="30" t="s">
        <v>182</v>
      </c>
      <c r="B89" s="95" t="s">
        <v>181</v>
      </c>
      <c r="C89" s="31" t="s">
        <v>101</v>
      </c>
      <c r="D89" s="126"/>
      <c r="E89" s="126"/>
      <c r="F89" s="126"/>
      <c r="G89" s="126"/>
      <c r="H89" s="126"/>
      <c r="I89" s="126"/>
      <c r="J89" s="126"/>
      <c r="K89" s="126"/>
      <c r="L89" s="126"/>
      <c r="M89" s="126"/>
      <c r="N89" s="126"/>
      <c r="O89" s="126"/>
      <c r="P89" s="126"/>
      <c r="Q89" s="126"/>
      <c r="R89" s="126"/>
      <c r="S89" s="126"/>
      <c r="T89" s="126"/>
      <c r="U89" s="126"/>
      <c r="V89" s="112"/>
      <c r="W89" s="112"/>
      <c r="Y89" s="112"/>
      <c r="Z89" s="112"/>
      <c r="AA89" s="112"/>
      <c r="AB89" s="112"/>
      <c r="AC89" s="112"/>
      <c r="AD89" s="112"/>
      <c r="AE89" s="112"/>
      <c r="AF89" s="112"/>
    </row>
    <row r="90" spans="1:33" s="95" customFormat="1" x14ac:dyDescent="0.2">
      <c r="A90" s="30" t="s">
        <v>183</v>
      </c>
      <c r="B90" s="95" t="s">
        <v>181</v>
      </c>
      <c r="C90" s="31" t="s">
        <v>101</v>
      </c>
      <c r="D90" s="126">
        <f t="shared" ref="D90:U90" si="26">D30/D54*1000</f>
        <v>12.523070112985739</v>
      </c>
      <c r="E90" s="126">
        <f t="shared" si="26"/>
        <v>13.113302241096436</v>
      </c>
      <c r="F90" s="126">
        <f t="shared" si="26"/>
        <v>13.601203276276552</v>
      </c>
      <c r="G90" s="126">
        <f t="shared" si="26"/>
        <v>13.806680786404664</v>
      </c>
      <c r="H90" s="126">
        <f t="shared" si="26"/>
        <v>13.912433589533979</v>
      </c>
      <c r="I90" s="126">
        <f t="shared" si="26"/>
        <v>13.810086112684299</v>
      </c>
      <c r="J90" s="126">
        <f t="shared" si="26"/>
        <v>13.468345979443177</v>
      </c>
      <c r="K90" s="126">
        <f t="shared" si="26"/>
        <v>13.401243250357638</v>
      </c>
      <c r="L90" s="126">
        <f t="shared" si="26"/>
        <v>13.103566458146334</v>
      </c>
      <c r="M90" s="126">
        <f t="shared" si="26"/>
        <v>12.224511190276685</v>
      </c>
      <c r="N90" s="126">
        <f t="shared" si="26"/>
        <v>12.25804894682528</v>
      </c>
      <c r="O90" s="126">
        <f t="shared" si="26"/>
        <v>11.966418825784254</v>
      </c>
      <c r="P90" s="126">
        <f t="shared" si="26"/>
        <v>11.875957540251122</v>
      </c>
      <c r="Q90" s="126">
        <f t="shared" si="26"/>
        <v>12.011499228110639</v>
      </c>
      <c r="R90" s="126">
        <f t="shared" si="26"/>
        <v>11.818090296589052</v>
      </c>
      <c r="S90" s="126">
        <f t="shared" si="26"/>
        <v>11.715940021034143</v>
      </c>
      <c r="T90" s="126">
        <f t="shared" si="26"/>
        <v>12.031575052118349</v>
      </c>
      <c r="U90" s="126">
        <f t="shared" si="26"/>
        <v>11.825167428740428</v>
      </c>
      <c r="V90" s="126">
        <f>V30/V54*1000</f>
        <v>11.911746217460855</v>
      </c>
      <c r="W90" s="112"/>
      <c r="Y90" s="112"/>
      <c r="Z90" s="112"/>
      <c r="AA90" s="112"/>
      <c r="AB90" s="112"/>
      <c r="AC90" s="112"/>
      <c r="AD90" s="112"/>
      <c r="AE90" s="112"/>
      <c r="AF90" s="112"/>
    </row>
    <row r="91" spans="1:33" s="95" customFormat="1" x14ac:dyDescent="0.2">
      <c r="A91" s="30" t="s">
        <v>184</v>
      </c>
      <c r="B91" s="95" t="s">
        <v>181</v>
      </c>
      <c r="C91" s="31" t="s">
        <v>101</v>
      </c>
      <c r="D91" s="126">
        <f t="shared" ref="D91:U91" si="27">D79/(D55+D56)*1000</f>
        <v>7.3355158877724413</v>
      </c>
      <c r="E91" s="126">
        <f t="shared" si="27"/>
        <v>7.7675012053673305</v>
      </c>
      <c r="F91" s="126">
        <f t="shared" si="27"/>
        <v>8.5829074216213943</v>
      </c>
      <c r="G91" s="126">
        <f t="shared" si="27"/>
        <v>8.9144362044549705</v>
      </c>
      <c r="H91" s="126">
        <f t="shared" si="27"/>
        <v>8.6811224247338732</v>
      </c>
      <c r="I91" s="126">
        <f t="shared" si="27"/>
        <v>8.5403600077994035</v>
      </c>
      <c r="J91" s="126">
        <f t="shared" si="27"/>
        <v>8.6859758422160382</v>
      </c>
      <c r="K91" s="126">
        <f t="shared" si="27"/>
        <v>8.4018635047267729</v>
      </c>
      <c r="L91" s="126">
        <f t="shared" si="27"/>
        <v>8.5273420747225064</v>
      </c>
      <c r="M91" s="126">
        <f t="shared" si="27"/>
        <v>8.4376311314886134</v>
      </c>
      <c r="N91" s="126">
        <f t="shared" si="27"/>
        <v>8.2238222768217675</v>
      </c>
      <c r="O91" s="126">
        <f t="shared" si="27"/>
        <v>8.1669548565113619</v>
      </c>
      <c r="P91" s="126">
        <f t="shared" si="27"/>
        <v>8.2301230289498619</v>
      </c>
      <c r="Q91" s="126">
        <f t="shared" si="27"/>
        <v>8.1814113382922944</v>
      </c>
      <c r="R91" s="126">
        <f t="shared" si="27"/>
        <v>7.9538808772944121</v>
      </c>
      <c r="S91" s="126">
        <f t="shared" si="27"/>
        <v>7.835972058846556</v>
      </c>
      <c r="T91" s="126">
        <f t="shared" si="27"/>
        <v>7.1881223199769355</v>
      </c>
      <c r="U91" s="126">
        <f t="shared" si="27"/>
        <v>7.1303825231661646</v>
      </c>
      <c r="V91" s="126">
        <f>V79/(V55+V56)*1000</f>
        <v>7.2211505593930703</v>
      </c>
      <c r="W91" s="112"/>
      <c r="Y91" s="112"/>
      <c r="Z91" s="112"/>
      <c r="AA91" s="112"/>
      <c r="AB91" s="112"/>
      <c r="AC91" s="112"/>
      <c r="AD91" s="112"/>
      <c r="AE91" s="112"/>
      <c r="AF91" s="112"/>
    </row>
    <row r="92" spans="1:33" s="127" customFormat="1" x14ac:dyDescent="0.2">
      <c r="A92" s="127" t="s">
        <v>185</v>
      </c>
      <c r="B92" s="95" t="s">
        <v>181</v>
      </c>
      <c r="C92" s="31" t="s">
        <v>101</v>
      </c>
      <c r="D92" s="128">
        <f>D88</f>
        <v>42.301239452086165</v>
      </c>
      <c r="E92" s="128">
        <f t="shared" ref="E92:T92" si="28">E88</f>
        <v>41.706590535948706</v>
      </c>
      <c r="F92" s="128">
        <f t="shared" si="28"/>
        <v>42.16118022076629</v>
      </c>
      <c r="G92" s="128">
        <f t="shared" si="28"/>
        <v>41.801192673596482</v>
      </c>
      <c r="H92" s="128">
        <f t="shared" si="28"/>
        <v>40.273558533887972</v>
      </c>
      <c r="I92" s="128">
        <f t="shared" si="28"/>
        <v>40.290314252435159</v>
      </c>
      <c r="J92" s="128">
        <f t="shared" si="28"/>
        <v>40.343310660331142</v>
      </c>
      <c r="K92" s="128">
        <f t="shared" si="28"/>
        <v>40.051181901981963</v>
      </c>
      <c r="L92" s="128">
        <f t="shared" si="28"/>
        <v>39.716937588728555</v>
      </c>
      <c r="M92" s="128">
        <f t="shared" si="28"/>
        <v>39.473704145348172</v>
      </c>
      <c r="N92" s="128">
        <f t="shared" si="28"/>
        <v>38.172768007396698</v>
      </c>
      <c r="O92" s="128">
        <f t="shared" si="28"/>
        <v>37.975513326183268</v>
      </c>
      <c r="P92" s="128">
        <f t="shared" si="28"/>
        <v>37.765449934187828</v>
      </c>
      <c r="Q92" s="128">
        <f t="shared" si="28"/>
        <v>37.557357734293717</v>
      </c>
      <c r="R92" s="128">
        <f t="shared" si="28"/>
        <v>37.60086925681258</v>
      </c>
      <c r="S92" s="128">
        <f t="shared" si="28"/>
        <v>37.398073926402645</v>
      </c>
      <c r="T92" s="128">
        <f t="shared" si="28"/>
        <v>36.57893563213154</v>
      </c>
      <c r="U92" s="128">
        <f>U88</f>
        <v>36.221794953765588</v>
      </c>
      <c r="V92" s="128">
        <f>V88</f>
        <v>36.305605594020655</v>
      </c>
      <c r="W92" s="112"/>
      <c r="Y92" s="112"/>
      <c r="Z92" s="112"/>
      <c r="AA92" s="112"/>
      <c r="AB92" s="112"/>
      <c r="AC92" s="112"/>
      <c r="AD92" s="112"/>
      <c r="AE92" s="112"/>
      <c r="AF92" s="112"/>
    </row>
    <row r="93" spans="1:33" s="114" customFormat="1" x14ac:dyDescent="0.2">
      <c r="A93" s="98" t="s">
        <v>186</v>
      </c>
      <c r="B93" s="114" t="s">
        <v>181</v>
      </c>
      <c r="C93" s="31" t="s">
        <v>101</v>
      </c>
      <c r="D93" s="125">
        <f t="shared" ref="D93:U93" si="29">(D30+D79)/(D54+D55+D56)*1000</f>
        <v>10.144150844145889</v>
      </c>
      <c r="E93" s="125">
        <f t="shared" si="29"/>
        <v>10.639637298282244</v>
      </c>
      <c r="F93" s="125">
        <f t="shared" si="29"/>
        <v>11.273482036210984</v>
      </c>
      <c r="G93" s="125">
        <f t="shared" si="29"/>
        <v>11.58481261415014</v>
      </c>
      <c r="H93" s="125">
        <f t="shared" si="29"/>
        <v>11.544921555550021</v>
      </c>
      <c r="I93" s="125">
        <f t="shared" si="29"/>
        <v>11.398822693434282</v>
      </c>
      <c r="J93" s="125">
        <f t="shared" si="29"/>
        <v>11.291298275819852</v>
      </c>
      <c r="K93" s="125">
        <f t="shared" si="29"/>
        <v>11.12111691027701</v>
      </c>
      <c r="L93" s="125">
        <f t="shared" si="29"/>
        <v>11.031345476785244</v>
      </c>
      <c r="M93" s="125">
        <f t="shared" si="29"/>
        <v>10.493656162311019</v>
      </c>
      <c r="N93" s="125">
        <f t="shared" si="29"/>
        <v>10.387916278731295</v>
      </c>
      <c r="O93" s="125">
        <f t="shared" si="29"/>
        <v>10.202226330372461</v>
      </c>
      <c r="P93" s="125">
        <f t="shared" si="29"/>
        <v>10.194631385741145</v>
      </c>
      <c r="Q93" s="125">
        <f t="shared" si="29"/>
        <v>10.253612368829344</v>
      </c>
      <c r="R93" s="125">
        <f t="shared" si="29"/>
        <v>10.038619543968821</v>
      </c>
      <c r="S93" s="125">
        <f t="shared" si="29"/>
        <v>9.9117153856813829</v>
      </c>
      <c r="T93" s="125">
        <f t="shared" si="29"/>
        <v>9.7424616922581766</v>
      </c>
      <c r="U93" s="125">
        <f t="shared" si="29"/>
        <v>9.6171213026525617</v>
      </c>
      <c r="V93" s="125">
        <f>(V30+V79)/(V54+V55+V56)*1000</f>
        <v>9.6754548897970896</v>
      </c>
      <c r="W93" s="112"/>
      <c r="Y93" s="112"/>
      <c r="Z93" s="112"/>
      <c r="AA93" s="112"/>
      <c r="AB93" s="112"/>
      <c r="AC93" s="112"/>
      <c r="AD93" s="112"/>
      <c r="AE93" s="112"/>
      <c r="AF93" s="112"/>
    </row>
    <row r="94" spans="1:33" s="114" customFormat="1" x14ac:dyDescent="0.2">
      <c r="A94" s="98"/>
      <c r="D94" s="125"/>
      <c r="E94" s="125"/>
      <c r="F94" s="125"/>
      <c r="G94" s="125"/>
      <c r="H94" s="125"/>
      <c r="I94" s="125"/>
      <c r="J94" s="125"/>
      <c r="K94" s="125"/>
      <c r="L94" s="125"/>
      <c r="M94" s="125"/>
      <c r="N94" s="125"/>
      <c r="O94" s="125"/>
      <c r="P94" s="125"/>
      <c r="Q94" s="125"/>
      <c r="R94" s="125"/>
      <c r="S94" s="125"/>
      <c r="T94" s="125"/>
      <c r="U94" s="125"/>
      <c r="V94" s="112"/>
      <c r="W94" s="112"/>
      <c r="Y94" s="112"/>
      <c r="Z94" s="112"/>
      <c r="AA94" s="112"/>
      <c r="AB94" s="112"/>
      <c r="AC94" s="112"/>
      <c r="AD94" s="112"/>
      <c r="AE94" s="112"/>
      <c r="AF94" s="112"/>
    </row>
    <row r="95" spans="1:33" s="114" customFormat="1" x14ac:dyDescent="0.2">
      <c r="A95" s="114" t="s">
        <v>187</v>
      </c>
      <c r="B95" s="114" t="s">
        <v>188</v>
      </c>
      <c r="C95" s="31" t="s">
        <v>101</v>
      </c>
      <c r="D95" s="125">
        <f t="shared" ref="D95:U95" si="30">D80/D64*1000</f>
        <v>52.0838027533771</v>
      </c>
      <c r="E95" s="125">
        <f t="shared" si="30"/>
        <v>54.20975828754397</v>
      </c>
      <c r="F95" s="125">
        <f t="shared" si="30"/>
        <v>55.857578900302975</v>
      </c>
      <c r="G95" s="125">
        <f t="shared" si="30"/>
        <v>56.402909832552723</v>
      </c>
      <c r="H95" s="125">
        <f t="shared" si="30"/>
        <v>55.330518072926864</v>
      </c>
      <c r="I95" s="125">
        <f t="shared" si="30"/>
        <v>53.653722791619401</v>
      </c>
      <c r="J95" s="125">
        <f t="shared" si="30"/>
        <v>54.308282357981952</v>
      </c>
      <c r="K95" s="125">
        <f t="shared" si="30"/>
        <v>53.512809215290694</v>
      </c>
      <c r="L95" s="125">
        <f t="shared" si="30"/>
        <v>53.46606668575064</v>
      </c>
      <c r="M95" s="125">
        <f t="shared" si="30"/>
        <v>53.683853504921409</v>
      </c>
      <c r="N95" s="125">
        <f t="shared" si="30"/>
        <v>52.058877273601176</v>
      </c>
      <c r="O95" s="125">
        <f t="shared" si="30"/>
        <v>52.579289472813613</v>
      </c>
      <c r="P95" s="125">
        <f t="shared" si="30"/>
        <v>52.674661782462977</v>
      </c>
      <c r="Q95" s="125">
        <f t="shared" si="30"/>
        <v>53.790383491407802</v>
      </c>
      <c r="R95" s="125">
        <f t="shared" si="30"/>
        <v>52.05069007948908</v>
      </c>
      <c r="S95" s="125">
        <f t="shared" si="30"/>
        <v>51.883163504327655</v>
      </c>
      <c r="T95" s="125">
        <f t="shared" si="30"/>
        <v>52.07939042997964</v>
      </c>
      <c r="U95" s="125">
        <f t="shared" si="30"/>
        <v>52.301550898975492</v>
      </c>
      <c r="V95" s="125">
        <f>V80/V64*1000</f>
        <v>50.836785383314741</v>
      </c>
      <c r="W95" s="112"/>
      <c r="Y95" s="112"/>
      <c r="Z95" s="112"/>
      <c r="AA95" s="112"/>
      <c r="AB95" s="112"/>
      <c r="AC95" s="112"/>
      <c r="AD95" s="112"/>
      <c r="AE95" s="112"/>
      <c r="AF95" s="112"/>
    </row>
    <row r="96" spans="1:33" s="95" customFormat="1" x14ac:dyDescent="0.2">
      <c r="A96" s="30" t="s">
        <v>132</v>
      </c>
      <c r="B96" s="95" t="s">
        <v>188</v>
      </c>
      <c r="C96" s="31" t="s">
        <v>101</v>
      </c>
      <c r="D96" s="126">
        <f t="shared" ref="D96:U96" si="31">D29/D61*1000</f>
        <v>67.71563256146591</v>
      </c>
      <c r="E96" s="126">
        <f t="shared" si="31"/>
        <v>68.160519329743764</v>
      </c>
      <c r="F96" s="126">
        <f t="shared" si="31"/>
        <v>68.271202494579484</v>
      </c>
      <c r="G96" s="126">
        <f t="shared" si="31"/>
        <v>68.166676188492971</v>
      </c>
      <c r="H96" s="126">
        <f t="shared" si="31"/>
        <v>66.927265047896412</v>
      </c>
      <c r="I96" s="126">
        <f t="shared" si="31"/>
        <v>64.870894982675352</v>
      </c>
      <c r="J96" s="126">
        <f t="shared" si="31"/>
        <v>65.166596463256766</v>
      </c>
      <c r="K96" s="126">
        <f t="shared" si="31"/>
        <v>64.744969702258302</v>
      </c>
      <c r="L96" s="126">
        <f t="shared" si="31"/>
        <v>63.873420807269959</v>
      </c>
      <c r="M96" s="126">
        <f t="shared" si="31"/>
        <v>63.436122944876381</v>
      </c>
      <c r="N96" s="126">
        <f t="shared" si="31"/>
        <v>62.259427943700068</v>
      </c>
      <c r="O96" s="126">
        <f t="shared" si="31"/>
        <v>62.541048769647446</v>
      </c>
      <c r="P96" s="126">
        <f t="shared" si="31"/>
        <v>62.246675430428404</v>
      </c>
      <c r="Q96" s="126">
        <f t="shared" si="31"/>
        <v>63.31728364945009</v>
      </c>
      <c r="R96" s="126">
        <f t="shared" si="31"/>
        <v>61.493112067610205</v>
      </c>
      <c r="S96" s="126">
        <f t="shared" si="31"/>
        <v>60.971005813653889</v>
      </c>
      <c r="T96" s="126">
        <f t="shared" si="31"/>
        <v>61.457652776604696</v>
      </c>
      <c r="U96" s="126">
        <f t="shared" si="31"/>
        <v>62.293031697830997</v>
      </c>
      <c r="V96" s="126">
        <f>V29/V61*1000</f>
        <v>60.257628789937399</v>
      </c>
      <c r="W96" s="112"/>
      <c r="Y96" s="112"/>
      <c r="Z96" s="112"/>
      <c r="AA96" s="112"/>
      <c r="AB96" s="112"/>
      <c r="AC96" s="112"/>
      <c r="AD96" s="112"/>
      <c r="AE96" s="112"/>
      <c r="AF96" s="112"/>
    </row>
    <row r="97" spans="1:32" s="114" customFormat="1" x14ac:dyDescent="0.2">
      <c r="A97" s="98" t="s">
        <v>189</v>
      </c>
      <c r="B97" s="114" t="s">
        <v>188</v>
      </c>
      <c r="C97" s="31" t="s">
        <v>101</v>
      </c>
      <c r="D97" s="125">
        <f t="shared" ref="D97:U97" si="32">(D81+D32)/(D62+D63)*1000</f>
        <v>22.317379585464806</v>
      </c>
      <c r="E97" s="125">
        <f t="shared" si="32"/>
        <v>24.564436851802551</v>
      </c>
      <c r="F97" s="125">
        <f t="shared" si="32"/>
        <v>26.866525025906309</v>
      </c>
      <c r="G97" s="125">
        <f t="shared" si="32"/>
        <v>27.576122096786278</v>
      </c>
      <c r="H97" s="125">
        <f t="shared" si="32"/>
        <v>26.496544926848948</v>
      </c>
      <c r="I97" s="125">
        <f t="shared" si="32"/>
        <v>25.211596770279851</v>
      </c>
      <c r="J97" s="125">
        <f t="shared" si="32"/>
        <v>26.678387700358833</v>
      </c>
      <c r="K97" s="125">
        <f t="shared" si="32"/>
        <v>25.260698280513381</v>
      </c>
      <c r="L97" s="125">
        <f t="shared" si="32"/>
        <v>25.352180984860674</v>
      </c>
      <c r="M97" s="125">
        <f t="shared" si="32"/>
        <v>25.704528550638912</v>
      </c>
      <c r="N97" s="125">
        <f t="shared" si="32"/>
        <v>23.239215554021701</v>
      </c>
      <c r="O97" s="125">
        <f t="shared" si="32"/>
        <v>22.679452044229272</v>
      </c>
      <c r="P97" s="125">
        <f t="shared" si="32"/>
        <v>22.900830161555625</v>
      </c>
      <c r="Q97" s="125">
        <f t="shared" si="32"/>
        <v>23.74521809252748</v>
      </c>
      <c r="R97" s="125">
        <f t="shared" si="32"/>
        <v>22.216263186238798</v>
      </c>
      <c r="S97" s="125">
        <f t="shared" si="32"/>
        <v>22.28742104683494</v>
      </c>
      <c r="T97" s="125">
        <f t="shared" si="32"/>
        <v>22.037785594297663</v>
      </c>
      <c r="U97" s="125">
        <f t="shared" si="32"/>
        <v>20.416009001471465</v>
      </c>
      <c r="V97" s="125">
        <f>(V81+V32)/(V62+V63)*1000</f>
        <v>20.752598941695602</v>
      </c>
      <c r="W97" s="112"/>
      <c r="Y97" s="112"/>
      <c r="Z97" s="112"/>
      <c r="AA97" s="112"/>
      <c r="AB97" s="112"/>
      <c r="AC97" s="112"/>
      <c r="AD97" s="112"/>
      <c r="AE97" s="112"/>
      <c r="AF97" s="112"/>
    </row>
    <row r="98" spans="1:32" s="95" customFormat="1" x14ac:dyDescent="0.2">
      <c r="A98" s="30" t="s">
        <v>190</v>
      </c>
      <c r="B98" s="95" t="s">
        <v>188</v>
      </c>
      <c r="C98" s="31" t="s">
        <v>101</v>
      </c>
      <c r="D98" s="126">
        <f t="shared" ref="D98:U98" si="33">D81/D62*1000</f>
        <v>12.698930349700566</v>
      </c>
      <c r="E98" s="126">
        <f t="shared" si="33"/>
        <v>13.527358634386575</v>
      </c>
      <c r="F98" s="126">
        <f t="shared" si="33"/>
        <v>15.015630970426937</v>
      </c>
      <c r="G98" s="126">
        <f t="shared" si="33"/>
        <v>15.775868163088871</v>
      </c>
      <c r="H98" s="126">
        <f t="shared" si="33"/>
        <v>15.415427157689217</v>
      </c>
      <c r="I98" s="126">
        <f t="shared" si="33"/>
        <v>15.106464288254367</v>
      </c>
      <c r="J98" s="126">
        <f t="shared" si="33"/>
        <v>15.406846292849695</v>
      </c>
      <c r="K98" s="126">
        <f t="shared" si="33"/>
        <v>14.911286534751108</v>
      </c>
      <c r="L98" s="126">
        <f t="shared" si="33"/>
        <v>15.16998992867047</v>
      </c>
      <c r="M98" s="126">
        <f t="shared" si="33"/>
        <v>15.0062278952767</v>
      </c>
      <c r="N98" s="126">
        <f t="shared" si="33"/>
        <v>14.610589231441448</v>
      </c>
      <c r="O98" s="126">
        <f t="shared" si="33"/>
        <v>14.517456974123053</v>
      </c>
      <c r="P98" s="126">
        <f t="shared" si="33"/>
        <v>14.701953065940685</v>
      </c>
      <c r="Q98" s="126">
        <f t="shared" si="33"/>
        <v>14.668371393250714</v>
      </c>
      <c r="R98" s="126">
        <f t="shared" si="33"/>
        <v>14.30250383282201</v>
      </c>
      <c r="S98" s="126">
        <f t="shared" si="33"/>
        <v>14.042331798992741</v>
      </c>
      <c r="T98" s="126">
        <f t="shared" si="33"/>
        <v>12.858299725922103</v>
      </c>
      <c r="U98" s="126">
        <f t="shared" si="33"/>
        <v>12.765142596477018</v>
      </c>
      <c r="V98" s="126">
        <f>V81/V62*1000</f>
        <v>12.927995278266161</v>
      </c>
      <c r="W98" s="112"/>
      <c r="Y98" s="112"/>
      <c r="Z98" s="112"/>
      <c r="AA98" s="112"/>
      <c r="AB98" s="112"/>
      <c r="AC98" s="112"/>
      <c r="AD98" s="112"/>
      <c r="AE98" s="112"/>
      <c r="AF98" s="112"/>
    </row>
    <row r="99" spans="1:32" s="95" customFormat="1" x14ac:dyDescent="0.2">
      <c r="A99" s="30" t="s">
        <v>191</v>
      </c>
      <c r="B99" s="95" t="s">
        <v>188</v>
      </c>
      <c r="C99" s="31" t="s">
        <v>101</v>
      </c>
      <c r="D99" s="126">
        <f t="shared" ref="D99:U99" si="34">D32/D63*1000</f>
        <v>60.675085291399427</v>
      </c>
      <c r="E99" s="126">
        <f t="shared" si="34"/>
        <v>63.834307498048155</v>
      </c>
      <c r="F99" s="126">
        <f t="shared" si="34"/>
        <v>65.776243139208205</v>
      </c>
      <c r="G99" s="126">
        <f t="shared" si="34"/>
        <v>66.57973758352432</v>
      </c>
      <c r="H99" s="126">
        <f t="shared" si="34"/>
        <v>61.313368460724206</v>
      </c>
      <c r="I99" s="126">
        <f t="shared" si="34"/>
        <v>57.173183503115318</v>
      </c>
      <c r="J99" s="126">
        <f t="shared" si="34"/>
        <v>63.587366937902637</v>
      </c>
      <c r="K99" s="126">
        <f t="shared" si="34"/>
        <v>58.413057549134059</v>
      </c>
      <c r="L99" s="126">
        <f t="shared" si="34"/>
        <v>55.857753895302672</v>
      </c>
      <c r="M99" s="126">
        <f t="shared" si="34"/>
        <v>57.587031596247805</v>
      </c>
      <c r="N99" s="126">
        <f t="shared" si="34"/>
        <v>49.259924688522638</v>
      </c>
      <c r="O99" s="126">
        <f t="shared" si="34"/>
        <v>46.450295155407154</v>
      </c>
      <c r="P99" s="126">
        <f t="shared" si="34"/>
        <v>46.647550503992029</v>
      </c>
      <c r="Q99" s="126">
        <f t="shared" si="34"/>
        <v>52.544231693758888</v>
      </c>
      <c r="R99" s="126">
        <f t="shared" si="34"/>
        <v>46.308738973179473</v>
      </c>
      <c r="S99" s="126">
        <f t="shared" si="34"/>
        <v>46.912509814919211</v>
      </c>
      <c r="T99" s="126">
        <f t="shared" si="34"/>
        <v>51.234803136454829</v>
      </c>
      <c r="U99" s="126">
        <f t="shared" si="34"/>
        <v>44.002670760874587</v>
      </c>
      <c r="V99" s="126">
        <f>V32/V63*1000</f>
        <v>44.599522255479627</v>
      </c>
      <c r="W99" s="112"/>
      <c r="Y99" s="112"/>
      <c r="Z99" s="112"/>
      <c r="AA99" s="112"/>
      <c r="AB99" s="112"/>
      <c r="AC99" s="112"/>
      <c r="AD99" s="112"/>
      <c r="AE99" s="112"/>
      <c r="AF99" s="112"/>
    </row>
    <row r="100" spans="1:32" s="95" customFormat="1" x14ac:dyDescent="0.2">
      <c r="A100" s="114" t="s">
        <v>192</v>
      </c>
      <c r="C100" s="31"/>
      <c r="D100" s="122"/>
      <c r="E100" s="122"/>
      <c r="F100" s="122"/>
      <c r="G100" s="122"/>
      <c r="H100" s="122"/>
      <c r="I100" s="122"/>
      <c r="J100" s="122"/>
      <c r="K100" s="122"/>
      <c r="L100" s="122"/>
      <c r="M100" s="122"/>
      <c r="N100" s="122"/>
      <c r="O100" s="122"/>
      <c r="P100" s="122"/>
      <c r="Q100" s="122"/>
      <c r="R100" s="122"/>
      <c r="S100" s="122"/>
      <c r="T100" s="122"/>
      <c r="U100" s="122"/>
      <c r="V100" s="112"/>
      <c r="W100" s="112"/>
      <c r="Y100" s="112"/>
      <c r="Z100" s="112"/>
      <c r="AA100" s="112"/>
      <c r="AB100" s="112"/>
      <c r="AC100" s="112"/>
      <c r="AD100" s="112"/>
      <c r="AE100" s="112"/>
      <c r="AF100" s="112"/>
    </row>
    <row r="101" spans="1:32" s="129" customFormat="1" x14ac:dyDescent="0.2">
      <c r="C101" s="31"/>
      <c r="D101" s="129">
        <v>1990</v>
      </c>
      <c r="E101" s="129">
        <f>D101+1</f>
        <v>1991</v>
      </c>
      <c r="F101" s="129">
        <f t="shared" ref="F101:V101" si="35">E101+1</f>
        <v>1992</v>
      </c>
      <c r="G101" s="129">
        <f t="shared" si="35"/>
        <v>1993</v>
      </c>
      <c r="H101" s="129">
        <f t="shared" si="35"/>
        <v>1994</v>
      </c>
      <c r="I101" s="129">
        <f t="shared" si="35"/>
        <v>1995</v>
      </c>
      <c r="J101" s="129">
        <f t="shared" si="35"/>
        <v>1996</v>
      </c>
      <c r="K101" s="129">
        <f t="shared" si="35"/>
        <v>1997</v>
      </c>
      <c r="L101" s="129">
        <f t="shared" si="35"/>
        <v>1998</v>
      </c>
      <c r="M101" s="129">
        <f t="shared" si="35"/>
        <v>1999</v>
      </c>
      <c r="N101" s="129">
        <f t="shared" si="35"/>
        <v>2000</v>
      </c>
      <c r="O101" s="129">
        <f t="shared" si="35"/>
        <v>2001</v>
      </c>
      <c r="P101" s="129">
        <f t="shared" si="35"/>
        <v>2002</v>
      </c>
      <c r="Q101" s="129">
        <f t="shared" si="35"/>
        <v>2003</v>
      </c>
      <c r="R101" s="129">
        <f t="shared" si="35"/>
        <v>2004</v>
      </c>
      <c r="S101" s="129">
        <f t="shared" si="35"/>
        <v>2005</v>
      </c>
      <c r="T101" s="129">
        <f t="shared" si="35"/>
        <v>2006</v>
      </c>
      <c r="U101" s="129">
        <f t="shared" si="35"/>
        <v>2007</v>
      </c>
      <c r="V101" s="129">
        <f t="shared" si="35"/>
        <v>2008</v>
      </c>
      <c r="W101" s="130"/>
      <c r="Y101" s="130"/>
      <c r="Z101" s="130"/>
      <c r="AA101" s="130"/>
      <c r="AB101" s="130"/>
      <c r="AC101" s="130"/>
      <c r="AD101" s="130"/>
      <c r="AE101" s="130"/>
      <c r="AF101" s="130"/>
    </row>
    <row r="102" spans="1:32" s="95" customFormat="1" ht="14.25" customHeight="1" x14ac:dyDescent="0.2">
      <c r="A102" s="95" t="s">
        <v>193</v>
      </c>
      <c r="B102" s="95" t="s">
        <v>194</v>
      </c>
      <c r="C102" s="31" t="s">
        <v>101</v>
      </c>
      <c r="D102" s="113"/>
      <c r="E102" s="117">
        <f t="shared" ref="E102:V102" si="36">((E88-D88)*E53)/1000</f>
        <v>-2.09980697470764</v>
      </c>
      <c r="F102" s="117">
        <f t="shared" si="36"/>
        <v>1.6407108438318434</v>
      </c>
      <c r="G102" s="117">
        <f t="shared" si="36"/>
        <v>-1.3241115492248461</v>
      </c>
      <c r="H102" s="117">
        <f t="shared" si="36"/>
        <v>-5.848813100658063</v>
      </c>
      <c r="I102" s="117">
        <f t="shared" si="36"/>
        <v>6.5229970339505089E-2</v>
      </c>
      <c r="J102" s="117">
        <f t="shared" si="36"/>
        <v>0.20989248545766884</v>
      </c>
      <c r="K102" s="117">
        <f t="shared" si="36"/>
        <v>-1.1799203243801843</v>
      </c>
      <c r="L102" s="117">
        <f t="shared" si="36"/>
        <v>-1.3829329900017402</v>
      </c>
      <c r="M102" s="117">
        <f t="shared" si="36"/>
        <v>-1.0314306869541847</v>
      </c>
      <c r="N102" s="117">
        <f t="shared" si="36"/>
        <v>-5.6225849947460995</v>
      </c>
      <c r="O102" s="117">
        <f t="shared" si="36"/>
        <v>-0.86900947335935497</v>
      </c>
      <c r="P102" s="117">
        <f t="shared" si="36"/>
        <v>-0.94118517098766863</v>
      </c>
      <c r="Q102" s="117">
        <f t="shared" si="36"/>
        <v>-0.93870793229485217</v>
      </c>
      <c r="R102" s="117">
        <f t="shared" si="36"/>
        <v>0.19884928524214371</v>
      </c>
      <c r="S102" s="117">
        <f t="shared" si="36"/>
        <v>-0.92546064763000802</v>
      </c>
      <c r="T102" s="117">
        <f t="shared" si="36"/>
        <v>-3.8331728840139134</v>
      </c>
      <c r="U102" s="117">
        <f t="shared" si="36"/>
        <v>-1.699976486244964</v>
      </c>
      <c r="V102" s="117">
        <f t="shared" si="36"/>
        <v>0.39600133610509708</v>
      </c>
      <c r="W102" s="112"/>
      <c r="Y102" s="112"/>
      <c r="Z102" s="112"/>
      <c r="AA102" s="112"/>
      <c r="AB102" s="112"/>
      <c r="AC102" s="112"/>
      <c r="AD102" s="112"/>
      <c r="AE102" s="112"/>
      <c r="AF102" s="112"/>
    </row>
    <row r="103" spans="1:32" s="95" customFormat="1" ht="14.25" customHeight="1" x14ac:dyDescent="0.2">
      <c r="A103" s="95" t="s">
        <v>195</v>
      </c>
      <c r="B103" s="95" t="s">
        <v>194</v>
      </c>
      <c r="C103" s="31" t="s">
        <v>101</v>
      </c>
      <c r="D103" s="113"/>
      <c r="E103" s="117">
        <f>((E90-D90)*E54)/1000</f>
        <v>0.31274938251679818</v>
      </c>
      <c r="F103" s="117">
        <f t="shared" ref="F103:V103" si="37">((F90-E90)*F54)/1000</f>
        <v>0.25117506386529104</v>
      </c>
      <c r="G103" s="117">
        <f t="shared" si="37"/>
        <v>0.10373953372714673</v>
      </c>
      <c r="H103" s="117">
        <f t="shared" si="37"/>
        <v>5.2852144853448323E-2</v>
      </c>
      <c r="I103" s="117">
        <f t="shared" si="37"/>
        <v>-5.1153952916464941E-2</v>
      </c>
      <c r="J103" s="117">
        <f t="shared" si="37"/>
        <v>-0.17215069732236404</v>
      </c>
      <c r="K103" s="117">
        <f t="shared" si="37"/>
        <v>-3.3853730664610601E-2</v>
      </c>
      <c r="L103" s="117">
        <f t="shared" si="37"/>
        <v>-0.1525598386496051</v>
      </c>
      <c r="M103" s="117">
        <f t="shared" si="37"/>
        <v>-0.45284932149466423</v>
      </c>
      <c r="N103" s="117">
        <f t="shared" si="37"/>
        <v>1.7380918188536383E-2</v>
      </c>
      <c r="O103" s="117">
        <f t="shared" si="37"/>
        <v>-0.15158397835912382</v>
      </c>
      <c r="P103" s="117">
        <f t="shared" si="37"/>
        <v>-4.6936762441981653E-2</v>
      </c>
      <c r="Q103" s="117">
        <f t="shared" si="37"/>
        <v>7.0493519850851796E-2</v>
      </c>
      <c r="R103" s="117">
        <f t="shared" si="37"/>
        <v>-0.10190859092585897</v>
      </c>
      <c r="S103" s="117">
        <f t="shared" si="37"/>
        <v>-5.3986204323474715E-2</v>
      </c>
      <c r="T103" s="117">
        <f t="shared" si="37"/>
        <v>0.16660494441849191</v>
      </c>
      <c r="U103" s="117">
        <f t="shared" si="37"/>
        <v>-0.11186501861536778</v>
      </c>
      <c r="V103" s="117">
        <f t="shared" si="37"/>
        <v>4.7334571816203666E-2</v>
      </c>
      <c r="W103" s="112"/>
      <c r="Y103" s="112"/>
      <c r="Z103" s="112"/>
      <c r="AA103" s="112"/>
      <c r="AB103" s="112"/>
      <c r="AC103" s="112"/>
      <c r="AD103" s="112"/>
      <c r="AE103" s="112"/>
      <c r="AF103" s="112"/>
    </row>
    <row r="104" spans="1:32" s="95" customFormat="1" ht="14.25" customHeight="1" x14ac:dyDescent="0.2">
      <c r="A104" s="95" t="s">
        <v>196</v>
      </c>
      <c r="B104" s="95" t="s">
        <v>194</v>
      </c>
      <c r="C104" s="31" t="s">
        <v>101</v>
      </c>
      <c r="D104" s="113"/>
      <c r="E104" s="117">
        <f t="shared" ref="E104:V104" si="38">((E91-D91)*(E55+E56))/1000</f>
        <v>0.1971416835082388</v>
      </c>
      <c r="F104" s="117">
        <f t="shared" si="38"/>
        <v>0.36316562059523494</v>
      </c>
      <c r="G104" s="117">
        <f t="shared" si="38"/>
        <v>0.1392666219200317</v>
      </c>
      <c r="H104" s="117">
        <f t="shared" si="38"/>
        <v>-9.6396387857128021E-2</v>
      </c>
      <c r="I104" s="117">
        <f t="shared" si="38"/>
        <v>-5.9347291635851784E-2</v>
      </c>
      <c r="J104" s="117">
        <f t="shared" si="38"/>
        <v>6.129539828508726E-2</v>
      </c>
      <c r="K104" s="117">
        <f t="shared" si="38"/>
        <v>-0.12018926381113509</v>
      </c>
      <c r="L104" s="117">
        <f t="shared" si="38"/>
        <v>5.3218907678636941E-2</v>
      </c>
      <c r="M104" s="117">
        <f t="shared" si="38"/>
        <v>-3.8905881513911604E-2</v>
      </c>
      <c r="N104" s="117">
        <f t="shared" si="38"/>
        <v>-9.575483008468362E-2</v>
      </c>
      <c r="O104" s="117">
        <f t="shared" si="38"/>
        <v>-2.5621707878623948E-2</v>
      </c>
      <c r="P104" s="117">
        <f t="shared" si="38"/>
        <v>2.8050898406484625E-2</v>
      </c>
      <c r="Q104" s="117">
        <f t="shared" si="38"/>
        <v>-2.1491589861205158E-2</v>
      </c>
      <c r="R104" s="117">
        <f t="shared" si="38"/>
        <v>-0.10233237426752888</v>
      </c>
      <c r="S104" s="117">
        <f t="shared" si="38"/>
        <v>-5.4163472147487186E-2</v>
      </c>
      <c r="T104" s="117">
        <f t="shared" si="38"/>
        <v>-0.30645427119067703</v>
      </c>
      <c r="U104" s="117">
        <f t="shared" si="38"/>
        <v>-2.7785728749312632E-2</v>
      </c>
      <c r="V104" s="117">
        <f t="shared" si="38"/>
        <v>4.5216803004221942E-2</v>
      </c>
      <c r="W104" s="112"/>
      <c r="Y104" s="112"/>
      <c r="Z104" s="112"/>
      <c r="AA104" s="112"/>
      <c r="AB104" s="112"/>
      <c r="AC104" s="112"/>
      <c r="AD104" s="112"/>
      <c r="AE104" s="112"/>
      <c r="AF104" s="112"/>
    </row>
    <row r="105" spans="1:32" s="95" customFormat="1" ht="14.25" customHeight="1" x14ac:dyDescent="0.2">
      <c r="A105" s="114" t="s">
        <v>197</v>
      </c>
      <c r="B105" s="95" t="s">
        <v>194</v>
      </c>
      <c r="C105" s="31" t="s">
        <v>101</v>
      </c>
      <c r="D105" s="131"/>
      <c r="E105" s="132">
        <f t="shared" ref="E105:U105" si="39">SUM(E102:E104)</f>
        <v>-1.5899159086826029</v>
      </c>
      <c r="F105" s="132">
        <f t="shared" si="39"/>
        <v>2.2550515282923693</v>
      </c>
      <c r="G105" s="132">
        <f t="shared" si="39"/>
        <v>-1.0811053935776678</v>
      </c>
      <c r="H105" s="132">
        <f t="shared" si="39"/>
        <v>-5.8923573436617431</v>
      </c>
      <c r="I105" s="132">
        <f t="shared" si="39"/>
        <v>-4.5271274212811637E-2</v>
      </c>
      <c r="J105" s="132">
        <f t="shared" si="39"/>
        <v>9.9037186420392054E-2</v>
      </c>
      <c r="K105" s="132">
        <f t="shared" si="39"/>
        <v>-1.3339633188559299</v>
      </c>
      <c r="L105" s="132">
        <f t="shared" si="39"/>
        <v>-1.4822739209727085</v>
      </c>
      <c r="M105" s="132">
        <f t="shared" si="39"/>
        <v>-1.5231858899627606</v>
      </c>
      <c r="N105" s="132">
        <f t="shared" si="39"/>
        <v>-5.7009589066422475</v>
      </c>
      <c r="O105" s="132">
        <f t="shared" si="39"/>
        <v>-1.0462151595971028</v>
      </c>
      <c r="P105" s="132">
        <f t="shared" si="39"/>
        <v>-0.9600710350231656</v>
      </c>
      <c r="Q105" s="132">
        <f t="shared" si="39"/>
        <v>-0.88970600230520547</v>
      </c>
      <c r="R105" s="132">
        <f t="shared" si="39"/>
        <v>-5.3916799512441355E-3</v>
      </c>
      <c r="S105" s="132">
        <f t="shared" si="39"/>
        <v>-1.03361032410097</v>
      </c>
      <c r="T105" s="132">
        <f t="shared" si="39"/>
        <v>-3.9730222107860986</v>
      </c>
      <c r="U105" s="132">
        <f t="shared" si="39"/>
        <v>-1.8396272336096444</v>
      </c>
      <c r="V105" s="132">
        <f>SUM(V102:V104)</f>
        <v>0.48855271092552266</v>
      </c>
      <c r="W105" s="112"/>
      <c r="Y105" s="112"/>
      <c r="Z105" s="112"/>
      <c r="AA105" s="112"/>
      <c r="AB105" s="112"/>
      <c r="AC105" s="112"/>
      <c r="AD105" s="112"/>
      <c r="AE105" s="112"/>
      <c r="AF105" s="112"/>
    </row>
    <row r="106" spans="1:32" s="95" customFormat="1" x14ac:dyDescent="0.2">
      <c r="V106" s="112"/>
      <c r="W106" s="112"/>
      <c r="Y106" s="112"/>
      <c r="Z106" s="112"/>
      <c r="AA106" s="112"/>
      <c r="AB106" s="112"/>
      <c r="AC106" s="112"/>
      <c r="AD106" s="112"/>
      <c r="AE106" s="112"/>
      <c r="AF106" s="112"/>
    </row>
    <row r="107" spans="1:32" s="95" customFormat="1" x14ac:dyDescent="0.2">
      <c r="B107" s="133"/>
      <c r="D107" s="113"/>
      <c r="F107" s="134"/>
      <c r="G107" s="134"/>
      <c r="H107" s="134"/>
      <c r="I107" s="134"/>
      <c r="J107" s="134"/>
      <c r="K107" s="134"/>
      <c r="L107" s="134"/>
      <c r="M107" s="134"/>
      <c r="N107" s="134"/>
      <c r="O107" s="134"/>
      <c r="P107" s="134"/>
      <c r="Q107" s="134"/>
      <c r="R107" s="134"/>
      <c r="S107" s="134"/>
      <c r="T107" s="134"/>
      <c r="U107" s="134"/>
      <c r="V107" s="112"/>
      <c r="W107" s="112"/>
      <c r="Y107" s="112"/>
      <c r="Z107" s="112"/>
      <c r="AA107" s="112"/>
      <c r="AB107" s="112"/>
      <c r="AC107" s="112"/>
      <c r="AD107" s="112"/>
      <c r="AE107" s="112"/>
      <c r="AF107" s="112"/>
    </row>
    <row r="108" spans="1:32" s="114" customFormat="1" ht="14.25" customHeight="1" x14ac:dyDescent="0.2">
      <c r="A108" s="114" t="s">
        <v>198</v>
      </c>
      <c r="B108" s="95"/>
      <c r="C108" s="31"/>
      <c r="D108" s="129">
        <v>1990</v>
      </c>
      <c r="E108" s="129">
        <f>D108+1</f>
        <v>1991</v>
      </c>
      <c r="F108" s="129">
        <f t="shared" ref="F108:V108" si="40">E108+1</f>
        <v>1992</v>
      </c>
      <c r="G108" s="129">
        <f t="shared" si="40"/>
        <v>1993</v>
      </c>
      <c r="H108" s="129">
        <f t="shared" si="40"/>
        <v>1994</v>
      </c>
      <c r="I108" s="129">
        <f t="shared" si="40"/>
        <v>1995</v>
      </c>
      <c r="J108" s="129">
        <f t="shared" si="40"/>
        <v>1996</v>
      </c>
      <c r="K108" s="129">
        <f t="shared" si="40"/>
        <v>1997</v>
      </c>
      <c r="L108" s="129">
        <f t="shared" si="40"/>
        <v>1998</v>
      </c>
      <c r="M108" s="129">
        <f t="shared" si="40"/>
        <v>1999</v>
      </c>
      <c r="N108" s="129">
        <f t="shared" si="40"/>
        <v>2000</v>
      </c>
      <c r="O108" s="129">
        <f t="shared" si="40"/>
        <v>2001</v>
      </c>
      <c r="P108" s="129">
        <f t="shared" si="40"/>
        <v>2002</v>
      </c>
      <c r="Q108" s="129">
        <f t="shared" si="40"/>
        <v>2003</v>
      </c>
      <c r="R108" s="129">
        <f t="shared" si="40"/>
        <v>2004</v>
      </c>
      <c r="S108" s="129">
        <f t="shared" si="40"/>
        <v>2005</v>
      </c>
      <c r="T108" s="129">
        <f t="shared" si="40"/>
        <v>2006</v>
      </c>
      <c r="U108" s="129">
        <f t="shared" si="40"/>
        <v>2007</v>
      </c>
      <c r="V108" s="129">
        <f t="shared" si="40"/>
        <v>2008</v>
      </c>
      <c r="W108" s="112"/>
      <c r="X108" s="67" t="s">
        <v>199</v>
      </c>
      <c r="Y108" s="112"/>
      <c r="Z108" s="112"/>
      <c r="AA108" s="112"/>
      <c r="AB108" s="112"/>
      <c r="AC108" s="112"/>
      <c r="AD108" s="112"/>
      <c r="AE108" s="112"/>
      <c r="AF108" s="112"/>
    </row>
    <row r="109" spans="1:32" s="95" customFormat="1" ht="14.25" customHeight="1" x14ac:dyDescent="0.2">
      <c r="A109" s="95" t="s">
        <v>200</v>
      </c>
      <c r="B109" s="95" t="s">
        <v>194</v>
      </c>
      <c r="C109" s="31" t="s">
        <v>101</v>
      </c>
      <c r="D109" s="113"/>
      <c r="E109" s="117">
        <f t="shared" ref="E109:V109" si="41">((E96-D96)*E61)/1000</f>
        <v>0.50290242765092086</v>
      </c>
      <c r="F109" s="117">
        <f t="shared" si="41"/>
        <v>0.12738984027918018</v>
      </c>
      <c r="G109" s="117">
        <f t="shared" si="41"/>
        <v>-0.12029701910084786</v>
      </c>
      <c r="H109" s="117">
        <f t="shared" si="41"/>
        <v>-1.516172003475067</v>
      </c>
      <c r="I109" s="117">
        <f t="shared" si="41"/>
        <v>-2.6499618482477714</v>
      </c>
      <c r="J109" s="117">
        <f t="shared" si="41"/>
        <v>0.38517453887425757</v>
      </c>
      <c r="K109" s="117">
        <f t="shared" si="41"/>
        <v>-0.56990361705288195</v>
      </c>
      <c r="L109" s="117">
        <f t="shared" si="41"/>
        <v>-1.2325479334880953</v>
      </c>
      <c r="M109" s="117">
        <f t="shared" si="41"/>
        <v>-0.6428020571446782</v>
      </c>
      <c r="N109" s="117">
        <f t="shared" si="41"/>
        <v>-1.7870537584564736</v>
      </c>
      <c r="O109" s="117">
        <f t="shared" si="41"/>
        <v>0.43827719793464859</v>
      </c>
      <c r="P109" s="117">
        <f t="shared" si="41"/>
        <v>-0.4727335567051818</v>
      </c>
      <c r="Q109" s="117">
        <f t="shared" si="41"/>
        <v>1.7402062117019526</v>
      </c>
      <c r="R109" s="117">
        <f t="shared" si="41"/>
        <v>-3.1873494665466846</v>
      </c>
      <c r="S109" s="117">
        <f t="shared" si="41"/>
        <v>-0.93992387210987438</v>
      </c>
      <c r="T109" s="117">
        <f t="shared" si="41"/>
        <v>0.90237681057864549</v>
      </c>
      <c r="U109" s="117">
        <f t="shared" si="41"/>
        <v>1.5996954991395653</v>
      </c>
      <c r="V109" s="117">
        <f t="shared" si="41"/>
        <v>-3.8219350668361383</v>
      </c>
      <c r="W109" s="112"/>
      <c r="X109" s="135">
        <f>SUM(E109:V109)</f>
        <v>-11.244657673004523</v>
      </c>
      <c r="Y109" s="135"/>
      <c r="Z109" s="135"/>
      <c r="AA109" s="112"/>
      <c r="AB109" s="112"/>
      <c r="AC109" s="112"/>
      <c r="AD109" s="112"/>
      <c r="AE109" s="112"/>
      <c r="AF109" s="112"/>
    </row>
    <row r="110" spans="1:32" s="95" customFormat="1" ht="14.25" customHeight="1" x14ac:dyDescent="0.2">
      <c r="A110" s="95" t="s">
        <v>201</v>
      </c>
      <c r="B110" s="95" t="s">
        <v>194</v>
      </c>
      <c r="C110" s="31" t="s">
        <v>101</v>
      </c>
      <c r="D110" s="113"/>
      <c r="E110" s="117">
        <f t="shared" ref="E110:U111" si="42">((E98-D98)*E62)/1000</f>
        <v>0.34400312691652063</v>
      </c>
      <c r="F110" s="117">
        <f t="shared" si="42"/>
        <v>0.56221371603006332</v>
      </c>
      <c r="G110" s="117">
        <f t="shared" si="42"/>
        <v>0.27411739173614025</v>
      </c>
      <c r="H110" s="117">
        <f t="shared" si="42"/>
        <v>-0.13452249137286001</v>
      </c>
      <c r="I110" s="117">
        <f t="shared" si="42"/>
        <v>-0.11930417926452605</v>
      </c>
      <c r="J110" s="117">
        <f t="shared" si="42"/>
        <v>0.11779360157403936</v>
      </c>
      <c r="K110" s="117">
        <f t="shared" si="42"/>
        <v>-0.20295005665242083</v>
      </c>
      <c r="L110" s="117">
        <f t="shared" si="42"/>
        <v>0.10154277015299479</v>
      </c>
      <c r="M110" s="117">
        <f t="shared" si="42"/>
        <v>-6.2823212517596844E-2</v>
      </c>
      <c r="N110" s="117">
        <f t="shared" si="42"/>
        <v>-0.1597097361893364</v>
      </c>
      <c r="O110" s="117">
        <f t="shared" si="42"/>
        <v>-3.5946658035645077E-2</v>
      </c>
      <c r="P110" s="117">
        <f t="shared" si="42"/>
        <v>7.0805392154777019E-2</v>
      </c>
      <c r="Q110" s="117">
        <f t="shared" si="42"/>
        <v>-1.3160263572357229E-2</v>
      </c>
      <c r="R110" s="117">
        <f t="shared" si="42"/>
        <v>-0.1523001907134984</v>
      </c>
      <c r="S110" s="117">
        <f t="shared" si="42"/>
        <v>-0.10774613200592861</v>
      </c>
      <c r="T110" s="117">
        <f t="shared" si="42"/>
        <v>-0.52144644652516503</v>
      </c>
      <c r="U110" s="117">
        <f t="shared" si="42"/>
        <v>-4.2208097994626548E-2</v>
      </c>
      <c r="V110" s="117">
        <f>((V98-U98)*V62)/1000</f>
        <v>7.2101233482643537E-2</v>
      </c>
      <c r="W110" s="112"/>
      <c r="X110" s="136">
        <f>SUM(E110:V110)</f>
        <v>-9.5402327967821637E-3</v>
      </c>
      <c r="Y110" s="135"/>
      <c r="Z110" s="135"/>
      <c r="AA110" s="112"/>
      <c r="AB110" s="112"/>
      <c r="AC110" s="112"/>
      <c r="AD110" s="112"/>
      <c r="AE110" s="112"/>
      <c r="AF110" s="112"/>
    </row>
    <row r="111" spans="1:32" s="95" customFormat="1" ht="14.25" customHeight="1" x14ac:dyDescent="0.2">
      <c r="A111" s="95" t="s">
        <v>202</v>
      </c>
      <c r="B111" s="95" t="s">
        <v>194</v>
      </c>
      <c r="C111" s="31" t="s">
        <v>101</v>
      </c>
      <c r="D111" s="113"/>
      <c r="E111" s="117">
        <f t="shared" si="42"/>
        <v>0.3687077742678212</v>
      </c>
      <c r="F111" s="117">
        <f t="shared" si="42"/>
        <v>0.22343278106041395</v>
      </c>
      <c r="G111" s="117">
        <f t="shared" si="42"/>
        <v>8.765099354359808E-2</v>
      </c>
      <c r="H111" s="117">
        <f t="shared" si="42"/>
        <v>-0.62555633924961174</v>
      </c>
      <c r="I111" s="117">
        <f t="shared" si="42"/>
        <v>-0.50545534170815221</v>
      </c>
      <c r="J111" s="117">
        <f t="shared" si="42"/>
        <v>0.76814010719463988</v>
      </c>
      <c r="K111" s="117">
        <f t="shared" si="42"/>
        <v>-0.66152576387257733</v>
      </c>
      <c r="L111" s="117">
        <f t="shared" si="42"/>
        <v>-0.33477379297756971</v>
      </c>
      <c r="M111" s="117">
        <f t="shared" si="42"/>
        <v>0.2226045559525163</v>
      </c>
      <c r="N111" s="117">
        <f t="shared" si="42"/>
        <v>-1.1146777689315737</v>
      </c>
      <c r="O111" s="117">
        <f t="shared" si="42"/>
        <v>-0.37235671695932215</v>
      </c>
      <c r="P111" s="117">
        <f t="shared" si="42"/>
        <v>2.6137177545877171E-2</v>
      </c>
      <c r="Q111" s="117">
        <f t="shared" si="42"/>
        <v>0.728328489883172</v>
      </c>
      <c r="R111" s="117">
        <f t="shared" si="42"/>
        <v>-0.85260667386292299</v>
      </c>
      <c r="S111" s="117">
        <f t="shared" si="42"/>
        <v>8.3720298509118704E-2</v>
      </c>
      <c r="T111" s="117">
        <f t="shared" si="42"/>
        <v>0.59846719311695085</v>
      </c>
      <c r="U111" s="117">
        <f t="shared" si="42"/>
        <v>-1.0628945758097852</v>
      </c>
      <c r="V111" s="117">
        <f t="shared" ref="V111" si="43">((V99-U99)*V63)/1000</f>
        <v>8.6704983326832533E-2</v>
      </c>
      <c r="W111" s="136"/>
      <c r="X111" s="135">
        <f>SUM(E111:W111)</f>
        <v>-2.3359526189705746</v>
      </c>
      <c r="Y111" s="135"/>
      <c r="Z111" s="135"/>
      <c r="AA111" s="112"/>
      <c r="AB111" s="112"/>
      <c r="AC111" s="112"/>
      <c r="AD111" s="112"/>
      <c r="AE111" s="112"/>
      <c r="AF111" s="112"/>
    </row>
    <row r="112" spans="1:32" s="114" customFormat="1" ht="14.25" customHeight="1" x14ac:dyDescent="0.2">
      <c r="A112" s="114" t="s">
        <v>197</v>
      </c>
      <c r="B112" s="95" t="s">
        <v>194</v>
      </c>
      <c r="C112" s="31" t="s">
        <v>101</v>
      </c>
      <c r="D112" s="131"/>
      <c r="E112" s="132">
        <f>SUM(E109:E111)</f>
        <v>1.2156133288352629</v>
      </c>
      <c r="F112" s="132">
        <f>SUM(F109:F111)</f>
        <v>0.9130363373696575</v>
      </c>
      <c r="G112" s="132">
        <f>SUM(G109:G111)</f>
        <v>0.24147136617889048</v>
      </c>
      <c r="H112" s="132">
        <f>SUM(H109:H111)</f>
        <v>-2.2762508340975387</v>
      </c>
      <c r="I112" s="132">
        <f>SUM(I109:I111)</f>
        <v>-3.2747213692204493</v>
      </c>
      <c r="J112" s="132">
        <f t="shared" ref="J112:T112" si="44">SUM(J109:J111)</f>
        <v>1.2711082476429367</v>
      </c>
      <c r="K112" s="132">
        <f t="shared" si="44"/>
        <v>-1.43437943757788</v>
      </c>
      <c r="L112" s="132">
        <f t="shared" si="44"/>
        <v>-1.4657789563126702</v>
      </c>
      <c r="M112" s="132">
        <f t="shared" si="44"/>
        <v>-0.48302071370975874</v>
      </c>
      <c r="N112" s="132">
        <f t="shared" si="44"/>
        <v>-3.0614412635773838</v>
      </c>
      <c r="O112" s="132">
        <f t="shared" si="44"/>
        <v>2.9973822939681372E-2</v>
      </c>
      <c r="P112" s="132">
        <f t="shared" si="44"/>
        <v>-0.37579098700452762</v>
      </c>
      <c r="Q112" s="132">
        <f t="shared" si="44"/>
        <v>2.4553744380127673</v>
      </c>
      <c r="R112" s="132">
        <f t="shared" si="44"/>
        <v>-4.1922563311231062</v>
      </c>
      <c r="S112" s="132">
        <f t="shared" si="44"/>
        <v>-0.96394970560668425</v>
      </c>
      <c r="T112" s="132">
        <f t="shared" si="44"/>
        <v>0.97939755717043131</v>
      </c>
      <c r="U112" s="132">
        <f>SUM(U109:U111)</f>
        <v>0.49459282533515347</v>
      </c>
      <c r="V112" s="132">
        <f>SUM(V109:V111)</f>
        <v>-3.6631288500266623</v>
      </c>
      <c r="W112" s="112"/>
      <c r="X112" s="135">
        <f>SUM(E112:V112)</f>
        <v>-13.590150524771881</v>
      </c>
      <c r="Y112" s="135"/>
      <c r="Z112" s="135"/>
      <c r="AA112" s="112"/>
      <c r="AB112" s="112"/>
      <c r="AC112" s="112"/>
      <c r="AD112" s="112"/>
      <c r="AE112" s="112"/>
      <c r="AF112" s="112"/>
    </row>
    <row r="113" spans="1:32" s="95" customFormat="1" x14ac:dyDescent="0.2">
      <c r="D113" s="113"/>
      <c r="V113" s="112"/>
      <c r="W113" s="112"/>
      <c r="X113" s="135"/>
      <c r="Y113" s="112"/>
      <c r="Z113" s="135"/>
      <c r="AA113" s="112"/>
      <c r="AB113" s="112"/>
      <c r="AC113" s="112"/>
      <c r="AD113" s="112"/>
      <c r="AE113" s="112"/>
      <c r="AF113" s="112"/>
    </row>
    <row r="114" spans="1:32" s="67" customFormat="1" x14ac:dyDescent="0.2">
      <c r="A114" s="68" t="s">
        <v>203</v>
      </c>
      <c r="D114" s="129">
        <v>1990</v>
      </c>
      <c r="E114" s="129">
        <f>D114+1</f>
        <v>1991</v>
      </c>
      <c r="F114" s="129">
        <f t="shared" ref="F114:V114" si="45">E114+1</f>
        <v>1992</v>
      </c>
      <c r="G114" s="129">
        <f t="shared" si="45"/>
        <v>1993</v>
      </c>
      <c r="H114" s="129">
        <f t="shared" si="45"/>
        <v>1994</v>
      </c>
      <c r="I114" s="129">
        <f t="shared" si="45"/>
        <v>1995</v>
      </c>
      <c r="J114" s="129">
        <f t="shared" si="45"/>
        <v>1996</v>
      </c>
      <c r="K114" s="129">
        <f t="shared" si="45"/>
        <v>1997</v>
      </c>
      <c r="L114" s="129">
        <f t="shared" si="45"/>
        <v>1998</v>
      </c>
      <c r="M114" s="129">
        <f t="shared" si="45"/>
        <v>1999</v>
      </c>
      <c r="N114" s="129">
        <f t="shared" si="45"/>
        <v>2000</v>
      </c>
      <c r="O114" s="129">
        <f t="shared" si="45"/>
        <v>2001</v>
      </c>
      <c r="P114" s="129">
        <f t="shared" si="45"/>
        <v>2002</v>
      </c>
      <c r="Q114" s="129">
        <f t="shared" si="45"/>
        <v>2003</v>
      </c>
      <c r="R114" s="129">
        <f t="shared" si="45"/>
        <v>2004</v>
      </c>
      <c r="S114" s="129">
        <f t="shared" si="45"/>
        <v>2005</v>
      </c>
      <c r="T114" s="129">
        <f t="shared" si="45"/>
        <v>2006</v>
      </c>
      <c r="U114" s="129">
        <f t="shared" si="45"/>
        <v>2007</v>
      </c>
      <c r="V114" s="129">
        <f t="shared" si="45"/>
        <v>2008</v>
      </c>
      <c r="X114" s="67" t="s">
        <v>199</v>
      </c>
      <c r="Y114" s="112"/>
      <c r="Z114" s="135"/>
      <c r="AA114" s="112"/>
      <c r="AB114" s="112"/>
      <c r="AC114" s="112"/>
      <c r="AD114" s="112"/>
      <c r="AE114" s="112"/>
      <c r="AF114" s="112"/>
    </row>
    <row r="115" spans="1:32" s="67" customFormat="1" ht="12" x14ac:dyDescent="0.2">
      <c r="A115" s="67" t="s">
        <v>204</v>
      </c>
      <c r="B115" s="95" t="s">
        <v>194</v>
      </c>
      <c r="C115" s="31" t="s">
        <v>101</v>
      </c>
      <c r="D115" s="73"/>
      <c r="E115" s="90">
        <f>E78-D78</f>
        <v>5.5625301924389134</v>
      </c>
      <c r="F115" s="90">
        <f t="shared" ref="F115:U115" si="46">F78-E78</f>
        <v>5.2270136063491179</v>
      </c>
      <c r="G115" s="90">
        <f t="shared" si="46"/>
        <v>1.4757565658904639</v>
      </c>
      <c r="H115" s="90">
        <f t="shared" si="46"/>
        <v>0.26498448303371447</v>
      </c>
      <c r="I115" s="90">
        <f t="shared" si="46"/>
        <v>2.6191325164986665</v>
      </c>
      <c r="J115" s="90">
        <f t="shared" si="46"/>
        <v>2.8675598832888056</v>
      </c>
      <c r="K115" s="90">
        <f t="shared" si="46"/>
        <v>1.8629360506639898</v>
      </c>
      <c r="L115" s="90">
        <f t="shared" si="46"/>
        <v>2.5770787503267911</v>
      </c>
      <c r="M115" s="90">
        <f t="shared" si="46"/>
        <v>2.6841032543025278</v>
      </c>
      <c r="N115" s="90">
        <f t="shared" si="46"/>
        <v>-2.3281741414198223</v>
      </c>
      <c r="O115" s="90">
        <f t="shared" si="46"/>
        <v>2.1847505484208511</v>
      </c>
      <c r="P115" s="90">
        <f t="shared" si="46"/>
        <v>1.822644119741625</v>
      </c>
      <c r="Q115" s="90">
        <f t="shared" si="46"/>
        <v>0.25453968945720362</v>
      </c>
      <c r="R115" s="90">
        <f t="shared" si="46"/>
        <v>2.3630623617052606</v>
      </c>
      <c r="S115" s="90">
        <f t="shared" si="46"/>
        <v>-1.1833778079118815</v>
      </c>
      <c r="T115" s="90">
        <f t="shared" si="46"/>
        <v>0.46446367704001545</v>
      </c>
      <c r="U115" s="90">
        <f t="shared" si="46"/>
        <v>1.3317231559993559</v>
      </c>
      <c r="V115" s="90">
        <f>V78-U78</f>
        <v>-0.60253173949743655</v>
      </c>
      <c r="W115" s="137"/>
      <c r="X115" s="135">
        <f>SUM(E115:V115)</f>
        <v>29.448195166328162</v>
      </c>
      <c r="Y115" s="112"/>
      <c r="Z115" s="135"/>
      <c r="AA115" s="112"/>
      <c r="AB115" s="112"/>
      <c r="AC115" s="112"/>
      <c r="AD115" s="112"/>
      <c r="AE115" s="112"/>
      <c r="AF115" s="112"/>
    </row>
    <row r="116" spans="1:32" s="67" customFormat="1" ht="12" x14ac:dyDescent="0.2">
      <c r="A116" s="67" t="s">
        <v>205</v>
      </c>
      <c r="B116" s="95" t="s">
        <v>194</v>
      </c>
      <c r="C116" s="31" t="s">
        <v>101</v>
      </c>
      <c r="D116" s="73"/>
      <c r="E116" s="90">
        <f>((E57-D57)*D87)/1000</f>
        <v>4.773374270629354</v>
      </c>
      <c r="F116" s="90">
        <f t="shared" ref="F116:U116" si="47">((F57-E57)*E87)/1000</f>
        <v>1.815768605933898</v>
      </c>
      <c r="G116" s="90">
        <f t="shared" si="47"/>
        <v>1.2042156249498299</v>
      </c>
      <c r="H116" s="90">
        <f t="shared" si="47"/>
        <v>4.9466658130065522</v>
      </c>
      <c r="I116" s="90">
        <f t="shared" si="47"/>
        <v>2.5296088838587898</v>
      </c>
      <c r="J116" s="90">
        <f t="shared" si="47"/>
        <v>2.4601328978858037</v>
      </c>
      <c r="K116" s="90">
        <f t="shared" si="47"/>
        <v>2.8360367642663538</v>
      </c>
      <c r="L116" s="90">
        <f t="shared" si="47"/>
        <v>3.7260177978666849</v>
      </c>
      <c r="M116" s="90">
        <f t="shared" si="47"/>
        <v>3.9657947940366949</v>
      </c>
      <c r="N116" s="90">
        <f t="shared" si="47"/>
        <v>3.3738447789816326</v>
      </c>
      <c r="O116" s="90">
        <f t="shared" si="47"/>
        <v>2.9058326536214549</v>
      </c>
      <c r="P116" s="90">
        <f t="shared" si="47"/>
        <v>2.2267943739380875</v>
      </c>
      <c r="Q116" s="90">
        <f t="shared" si="47"/>
        <v>0.95039409442307898</v>
      </c>
      <c r="R116" s="90">
        <f t="shared" si="47"/>
        <v>2.4371180553577116</v>
      </c>
      <c r="S116" s="90">
        <f t="shared" si="47"/>
        <v>0.15354230661486565</v>
      </c>
      <c r="T116" s="90">
        <f t="shared" si="47"/>
        <v>4.1935909534607987</v>
      </c>
      <c r="U116" s="90">
        <f t="shared" si="47"/>
        <v>3.2728208437117376</v>
      </c>
      <c r="V116" s="90">
        <f>((V57-U57)*U87)/1000</f>
        <v>-0.41961169343137006</v>
      </c>
      <c r="W116" s="137"/>
      <c r="X116" s="135">
        <f>SUM(E116:V116)</f>
        <v>47.351941819111964</v>
      </c>
      <c r="Y116" s="112"/>
      <c r="Z116" s="135"/>
      <c r="AA116" s="112"/>
      <c r="AB116" s="112"/>
      <c r="AC116" s="112"/>
      <c r="AD116" s="112"/>
      <c r="AE116" s="112"/>
      <c r="AF116" s="112"/>
    </row>
    <row r="117" spans="1:32" s="67" customFormat="1" ht="12" x14ac:dyDescent="0.2">
      <c r="A117" s="67" t="s">
        <v>206</v>
      </c>
      <c r="B117" s="95" t="s">
        <v>194</v>
      </c>
      <c r="C117" s="31" t="s">
        <v>101</v>
      </c>
      <c r="D117" s="73"/>
      <c r="E117" s="132">
        <f>((E87-D87)*E57)/1000</f>
        <v>0.78915592180958094</v>
      </c>
      <c r="F117" s="132">
        <f t="shared" ref="F117:V117" si="48">((F87-E87)*F57)/1000</f>
        <v>3.4112450004152097</v>
      </c>
      <c r="G117" s="132">
        <f t="shared" si="48"/>
        <v>0.27154094094063436</v>
      </c>
      <c r="H117" s="132">
        <f t="shared" si="48"/>
        <v>-4.6816813299728608</v>
      </c>
      <c r="I117" s="132">
        <f t="shared" si="48"/>
        <v>8.9523632639863238E-2</v>
      </c>
      <c r="J117" s="132">
        <f t="shared" si="48"/>
        <v>0.40742698540301542</v>
      </c>
      <c r="K117" s="132">
        <f t="shared" si="48"/>
        <v>-0.97310071360235062</v>
      </c>
      <c r="L117" s="132">
        <f t="shared" si="48"/>
        <v>-1.148939047539876</v>
      </c>
      <c r="M117" s="132">
        <f t="shared" si="48"/>
        <v>-1.2816915397342146</v>
      </c>
      <c r="N117" s="132">
        <f t="shared" si="48"/>
        <v>-5.702018920401442</v>
      </c>
      <c r="O117" s="132">
        <f t="shared" si="48"/>
        <v>-0.72108210520060345</v>
      </c>
      <c r="P117" s="132">
        <f t="shared" si="48"/>
        <v>-0.4041502541964494</v>
      </c>
      <c r="Q117" s="132">
        <f t="shared" si="48"/>
        <v>-0.695854404965908</v>
      </c>
      <c r="R117" s="132">
        <f t="shared" si="48"/>
        <v>-7.4055693652400001E-2</v>
      </c>
      <c r="S117" s="132">
        <f t="shared" si="48"/>
        <v>-1.3369201145267573</v>
      </c>
      <c r="T117" s="132">
        <f t="shared" si="48"/>
        <v>-3.7291272764207819</v>
      </c>
      <c r="U117" s="132">
        <f t="shared" si="48"/>
        <v>-1.9410976877124002</v>
      </c>
      <c r="V117" s="132">
        <f t="shared" si="48"/>
        <v>-0.18292004606607673</v>
      </c>
      <c r="W117" s="137"/>
      <c r="X117" s="135">
        <f>SUM(E117:V117)</f>
        <v>-17.90374665278382</v>
      </c>
      <c r="Y117" s="112"/>
      <c r="Z117" s="135"/>
      <c r="AA117" s="112"/>
      <c r="AB117" s="112"/>
      <c r="AC117" s="112"/>
      <c r="AD117" s="112"/>
      <c r="AE117" s="112"/>
      <c r="AF117" s="112"/>
    </row>
    <row r="118" spans="1:32" s="68" customFormat="1" ht="12" x14ac:dyDescent="0.2">
      <c r="A118" s="67" t="s">
        <v>207</v>
      </c>
      <c r="B118" s="95" t="s">
        <v>194</v>
      </c>
      <c r="C118" s="31" t="s">
        <v>101</v>
      </c>
      <c r="D118" s="73"/>
      <c r="E118" s="117">
        <f>E117-E105</f>
        <v>2.3790718304921841</v>
      </c>
      <c r="F118" s="117">
        <f t="shared" ref="F118:U118" si="49">F117-F105</f>
        <v>1.1561934721228404</v>
      </c>
      <c r="G118" s="117">
        <f t="shared" si="49"/>
        <v>1.3526463345183022</v>
      </c>
      <c r="H118" s="117">
        <f t="shared" si="49"/>
        <v>1.2106760136888823</v>
      </c>
      <c r="I118" s="117">
        <f t="shared" si="49"/>
        <v>0.13479490685267487</v>
      </c>
      <c r="J118" s="117">
        <f t="shared" si="49"/>
        <v>0.30838979898262336</v>
      </c>
      <c r="K118" s="117">
        <f t="shared" si="49"/>
        <v>0.36086260525357927</v>
      </c>
      <c r="L118" s="117">
        <f t="shared" si="49"/>
        <v>0.33333487343283252</v>
      </c>
      <c r="M118" s="117">
        <f t="shared" si="49"/>
        <v>0.24149435022854604</v>
      </c>
      <c r="N118" s="117">
        <f t="shared" si="49"/>
        <v>-1.0600137591945114E-3</v>
      </c>
      <c r="O118" s="117">
        <f t="shared" si="49"/>
        <v>0.32513305439649931</v>
      </c>
      <c r="P118" s="117">
        <f t="shared" si="49"/>
        <v>0.55592078082671614</v>
      </c>
      <c r="Q118" s="117">
        <f t="shared" si="49"/>
        <v>0.19385159733929747</v>
      </c>
      <c r="R118" s="117">
        <f t="shared" si="49"/>
        <v>-6.8664013701155865E-2</v>
      </c>
      <c r="S118" s="117">
        <f t="shared" si="49"/>
        <v>-0.30330979042578732</v>
      </c>
      <c r="T118" s="117">
        <f t="shared" si="49"/>
        <v>0.24389493436531673</v>
      </c>
      <c r="U118" s="117">
        <f t="shared" si="49"/>
        <v>-0.10147045410275579</v>
      </c>
      <c r="V118" s="117">
        <f>V117-V105</f>
        <v>-0.67147275699159936</v>
      </c>
      <c r="W118" s="137"/>
      <c r="X118" s="138">
        <f>SUM(E118:V118)</f>
        <v>7.6502875235198005</v>
      </c>
      <c r="Y118" s="112"/>
      <c r="Z118" s="135"/>
      <c r="AA118" s="112"/>
      <c r="AB118" s="112"/>
      <c r="AC118" s="112"/>
      <c r="AD118" s="112"/>
      <c r="AE118" s="112"/>
      <c r="AF118" s="112"/>
    </row>
    <row r="119" spans="1:32" s="67" customFormat="1" ht="12" x14ac:dyDescent="0.2">
      <c r="A119" s="68" t="s">
        <v>208</v>
      </c>
      <c r="C119" s="31"/>
      <c r="D119" s="83"/>
      <c r="E119" s="139">
        <f>E105</f>
        <v>-1.5899159086826029</v>
      </c>
      <c r="F119" s="139">
        <f t="shared" ref="F119:U119" si="50">F105</f>
        <v>2.2550515282923693</v>
      </c>
      <c r="G119" s="139">
        <f t="shared" si="50"/>
        <v>-1.0811053935776678</v>
      </c>
      <c r="H119" s="139">
        <f t="shared" si="50"/>
        <v>-5.8923573436617431</v>
      </c>
      <c r="I119" s="139">
        <f t="shared" si="50"/>
        <v>-4.5271274212811637E-2</v>
      </c>
      <c r="J119" s="139">
        <f t="shared" si="50"/>
        <v>9.9037186420392054E-2</v>
      </c>
      <c r="K119" s="139">
        <f t="shared" si="50"/>
        <v>-1.3339633188559299</v>
      </c>
      <c r="L119" s="139">
        <f t="shared" si="50"/>
        <v>-1.4822739209727085</v>
      </c>
      <c r="M119" s="139">
        <f t="shared" si="50"/>
        <v>-1.5231858899627606</v>
      </c>
      <c r="N119" s="139">
        <f t="shared" si="50"/>
        <v>-5.7009589066422475</v>
      </c>
      <c r="O119" s="139">
        <f t="shared" si="50"/>
        <v>-1.0462151595971028</v>
      </c>
      <c r="P119" s="139">
        <f t="shared" si="50"/>
        <v>-0.9600710350231656</v>
      </c>
      <c r="Q119" s="139">
        <f t="shared" si="50"/>
        <v>-0.88970600230520547</v>
      </c>
      <c r="R119" s="139">
        <f t="shared" si="50"/>
        <v>-5.3916799512441355E-3</v>
      </c>
      <c r="S119" s="139">
        <f t="shared" si="50"/>
        <v>-1.03361032410097</v>
      </c>
      <c r="T119" s="139">
        <f t="shared" si="50"/>
        <v>-3.9730222107860986</v>
      </c>
      <c r="U119" s="139">
        <f t="shared" si="50"/>
        <v>-1.8396272336096444</v>
      </c>
      <c r="V119" s="139">
        <f>V105</f>
        <v>0.48855271092552266</v>
      </c>
      <c r="W119" s="140"/>
      <c r="X119" s="135">
        <f>SUM(E119:V119)</f>
        <v>-25.554034176303624</v>
      </c>
      <c r="Y119" s="112"/>
      <c r="Z119" s="135"/>
      <c r="AA119" s="112"/>
      <c r="AB119" s="112"/>
      <c r="AC119" s="112"/>
      <c r="AD119" s="112"/>
      <c r="AE119" s="112"/>
      <c r="AF119" s="112"/>
    </row>
    <row r="120" spans="1:32" s="67" customFormat="1" x14ac:dyDescent="0.2">
      <c r="A120" s="68"/>
      <c r="C120" s="31"/>
      <c r="D120" s="83"/>
      <c r="E120" s="139"/>
      <c r="F120" s="139"/>
      <c r="G120" s="139"/>
      <c r="H120" s="139"/>
      <c r="I120" s="139"/>
      <c r="J120" s="139"/>
      <c r="K120" s="139"/>
      <c r="L120" s="139"/>
      <c r="M120" s="139"/>
      <c r="N120" s="139"/>
      <c r="O120" s="139"/>
      <c r="P120" s="139"/>
      <c r="Q120" s="139"/>
      <c r="R120" s="139"/>
      <c r="S120" s="139"/>
      <c r="T120" s="139"/>
      <c r="U120" s="139"/>
      <c r="V120" s="141"/>
      <c r="W120" s="141"/>
      <c r="X120" s="135"/>
      <c r="Y120" s="112"/>
      <c r="Z120" s="135"/>
      <c r="AA120" s="112"/>
      <c r="AB120" s="112"/>
      <c r="AC120" s="112"/>
      <c r="AD120" s="112"/>
      <c r="AE120" s="112"/>
      <c r="AF120" s="112"/>
    </row>
    <row r="121" spans="1:32" s="67" customFormat="1" ht="12" x14ac:dyDescent="0.2">
      <c r="A121" s="68" t="s">
        <v>209</v>
      </c>
      <c r="D121" s="129">
        <v>1990</v>
      </c>
      <c r="E121" s="129">
        <f>D121+1</f>
        <v>1991</v>
      </c>
      <c r="F121" s="129">
        <f t="shared" ref="F121:V121" si="51">E121+1</f>
        <v>1992</v>
      </c>
      <c r="G121" s="129">
        <f t="shared" si="51"/>
        <v>1993</v>
      </c>
      <c r="H121" s="129">
        <f t="shared" si="51"/>
        <v>1994</v>
      </c>
      <c r="I121" s="129">
        <f t="shared" si="51"/>
        <v>1995</v>
      </c>
      <c r="J121" s="129">
        <f t="shared" si="51"/>
        <v>1996</v>
      </c>
      <c r="K121" s="129">
        <f t="shared" si="51"/>
        <v>1997</v>
      </c>
      <c r="L121" s="129">
        <f t="shared" si="51"/>
        <v>1998</v>
      </c>
      <c r="M121" s="129">
        <f t="shared" si="51"/>
        <v>1999</v>
      </c>
      <c r="N121" s="129">
        <f t="shared" si="51"/>
        <v>2000</v>
      </c>
      <c r="O121" s="129">
        <f t="shared" si="51"/>
        <v>2001</v>
      </c>
      <c r="P121" s="129">
        <f t="shared" si="51"/>
        <v>2002</v>
      </c>
      <c r="Q121" s="129">
        <f t="shared" si="51"/>
        <v>2003</v>
      </c>
      <c r="R121" s="129">
        <f t="shared" si="51"/>
        <v>2004</v>
      </c>
      <c r="S121" s="129">
        <f t="shared" si="51"/>
        <v>2005</v>
      </c>
      <c r="T121" s="129">
        <f t="shared" si="51"/>
        <v>2006</v>
      </c>
      <c r="U121" s="129">
        <f t="shared" si="51"/>
        <v>2007</v>
      </c>
      <c r="V121" s="129">
        <f t="shared" si="51"/>
        <v>2008</v>
      </c>
      <c r="W121" s="142"/>
      <c r="Y121" s="112"/>
      <c r="Z121" s="135"/>
      <c r="AA121" s="112"/>
      <c r="AB121" s="112"/>
      <c r="AC121" s="112"/>
      <c r="AD121" s="112"/>
      <c r="AE121" s="112"/>
      <c r="AF121" s="112"/>
    </row>
    <row r="122" spans="1:32" s="67" customFormat="1" ht="12" x14ac:dyDescent="0.2">
      <c r="A122" s="67" t="s">
        <v>204</v>
      </c>
      <c r="B122" s="95" t="s">
        <v>194</v>
      </c>
      <c r="C122" s="31" t="s">
        <v>101</v>
      </c>
      <c r="D122" s="73"/>
      <c r="E122" s="90">
        <f>E80-D80</f>
        <v>0.83371051366823679</v>
      </c>
      <c r="F122" s="90">
        <f t="shared" ref="F122:V122" si="52">F80-E80</f>
        <v>1.7002701196007877</v>
      </c>
      <c r="G122" s="90">
        <f t="shared" si="52"/>
        <v>-0.4136997614248088</v>
      </c>
      <c r="H122" s="90">
        <f t="shared" si="52"/>
        <v>3.5056320871935043</v>
      </c>
      <c r="I122" s="90">
        <f t="shared" si="52"/>
        <v>1.5013664922642818</v>
      </c>
      <c r="J122" s="90">
        <f t="shared" si="52"/>
        <v>2.131574099130674</v>
      </c>
      <c r="K122" s="90">
        <f t="shared" si="52"/>
        <v>2.5477015099231011</v>
      </c>
      <c r="L122" s="90">
        <f t="shared" si="52"/>
        <v>2.5132925197203662</v>
      </c>
      <c r="M122" s="90">
        <f t="shared" si="52"/>
        <v>2.8147551686657408</v>
      </c>
      <c r="N122" s="90">
        <f t="shared" si="52"/>
        <v>0.62858500925706551</v>
      </c>
      <c r="O122" s="90">
        <f t="shared" si="52"/>
        <v>2.0442282632226068</v>
      </c>
      <c r="P122" s="90">
        <f t="shared" si="52"/>
        <v>2.6951501814100141</v>
      </c>
      <c r="Q122" s="90">
        <f t="shared" si="52"/>
        <v>3.3715324009948375</v>
      </c>
      <c r="R122" s="90">
        <f t="shared" si="52"/>
        <v>4.5751584267481746</v>
      </c>
      <c r="S122" s="90">
        <f t="shared" si="52"/>
        <v>2.3519299904281041</v>
      </c>
      <c r="T122" s="90">
        <f t="shared" si="52"/>
        <v>4.6324022890323562</v>
      </c>
      <c r="U122" s="90">
        <f t="shared" si="52"/>
        <v>4.821630034308356</v>
      </c>
      <c r="V122" s="90">
        <f t="shared" si="52"/>
        <v>-6.1875142429744301</v>
      </c>
      <c r="W122" s="137"/>
      <c r="X122" s="135">
        <f>SUM(E122:V122)</f>
        <v>36.067705101168968</v>
      </c>
      <c r="Y122" s="112"/>
      <c r="Z122" s="135"/>
      <c r="AA122" s="112"/>
      <c r="AB122" s="112"/>
      <c r="AC122" s="112"/>
      <c r="AD122" s="112"/>
      <c r="AE122" s="112"/>
      <c r="AF122" s="112"/>
    </row>
    <row r="123" spans="1:32" s="67" customFormat="1" ht="12" x14ac:dyDescent="0.2">
      <c r="A123" s="67" t="s">
        <v>205</v>
      </c>
      <c r="B123" s="95" t="s">
        <v>194</v>
      </c>
      <c r="C123" s="31" t="s">
        <v>101</v>
      </c>
      <c r="D123" s="73"/>
      <c r="E123" s="90">
        <f>((E64-D64)*D95)/1000</f>
        <v>-2.7003967077552691</v>
      </c>
      <c r="F123" s="90">
        <f t="shared" ref="F123:V123" si="53">((F64-E64)*E95)/1000</f>
        <v>-1.008352859367261</v>
      </c>
      <c r="G123" s="90">
        <f t="shared" si="53"/>
        <v>-1.2974267635782506</v>
      </c>
      <c r="H123" s="90">
        <f t="shared" si="53"/>
        <v>5.345105574776948</v>
      </c>
      <c r="I123" s="90">
        <f t="shared" si="53"/>
        <v>4.5143819512930623</v>
      </c>
      <c r="J123" s="90">
        <f t="shared" si="53"/>
        <v>0.94388788055427975</v>
      </c>
      <c r="K123" s="90">
        <f t="shared" si="53"/>
        <v>4.0504004922999624</v>
      </c>
      <c r="L123" s="90">
        <f t="shared" si="53"/>
        <v>2.6038665419156852</v>
      </c>
      <c r="M123" s="90">
        <f t="shared" si="53"/>
        <v>2.3830379002603022</v>
      </c>
      <c r="N123" s="90">
        <f t="shared" si="53"/>
        <v>3.9699311794668146</v>
      </c>
      <c r="O123" s="90">
        <f t="shared" si="53"/>
        <v>0.96449261247392715</v>
      </c>
      <c r="P123" s="90">
        <f t="shared" si="53"/>
        <v>2.4927530238129161</v>
      </c>
      <c r="Q123" s="90">
        <f t="shared" si="53"/>
        <v>0.98295045427471595</v>
      </c>
      <c r="R123" s="90">
        <f t="shared" si="53"/>
        <v>8.5769609536854663</v>
      </c>
      <c r="S123" s="90">
        <f t="shared" si="53"/>
        <v>2.7461284910638346</v>
      </c>
      <c r="T123" s="90">
        <f t="shared" si="53"/>
        <v>4.1549559847157527</v>
      </c>
      <c r="U123" s="90">
        <f t="shared" si="53"/>
        <v>4.2628992646962667</v>
      </c>
      <c r="V123" s="90">
        <f t="shared" si="53"/>
        <v>-2.5757853499681915</v>
      </c>
      <c r="W123" s="137"/>
      <c r="X123" s="135">
        <f>SUM(E123:V123)</f>
        <v>40.40979062462096</v>
      </c>
      <c r="Y123" s="112"/>
      <c r="Z123" s="135"/>
      <c r="AA123" s="112"/>
      <c r="AB123" s="112"/>
      <c r="AC123" s="112"/>
      <c r="AD123" s="112"/>
      <c r="AE123" s="112"/>
      <c r="AF123" s="112"/>
    </row>
    <row r="124" spans="1:32" s="67" customFormat="1" ht="12" x14ac:dyDescent="0.2">
      <c r="A124" s="67" t="s">
        <v>206</v>
      </c>
      <c r="B124" s="95" t="s">
        <v>194</v>
      </c>
      <c r="C124" s="31" t="s">
        <v>101</v>
      </c>
      <c r="D124" s="73"/>
      <c r="E124" s="132">
        <f>((E95-D95)*E64)/1000</f>
        <v>3.5341072214235107</v>
      </c>
      <c r="F124" s="132">
        <f t="shared" ref="F124:V124" si="54">((F95-E95)*F64)/1000</f>
        <v>2.7086229789680534</v>
      </c>
      <c r="G124" s="132">
        <f t="shared" si="54"/>
        <v>0.88372700215344013</v>
      </c>
      <c r="H124" s="132">
        <f t="shared" si="54"/>
        <v>-1.8394734875834415</v>
      </c>
      <c r="I124" s="132">
        <f t="shared" si="54"/>
        <v>-3.0130154590287832</v>
      </c>
      <c r="J124" s="132">
        <f t="shared" si="54"/>
        <v>1.1876862185763937</v>
      </c>
      <c r="K124" s="132">
        <f t="shared" si="54"/>
        <v>-1.5026989823768637</v>
      </c>
      <c r="L124" s="132">
        <f t="shared" si="54"/>
        <v>-9.0574022195322595E-2</v>
      </c>
      <c r="M124" s="132">
        <f t="shared" si="54"/>
        <v>0.43171726840545455</v>
      </c>
      <c r="N124" s="132">
        <f t="shared" si="54"/>
        <v>-3.3413461702097451</v>
      </c>
      <c r="O124" s="132">
        <f t="shared" si="54"/>
        <v>1.0797356507486573</v>
      </c>
      <c r="P124" s="132">
        <f t="shared" si="54"/>
        <v>0.2023971575971055</v>
      </c>
      <c r="Q124" s="132">
        <f t="shared" si="54"/>
        <v>2.3885819467201266</v>
      </c>
      <c r="R124" s="132">
        <f t="shared" si="54"/>
        <v>-4.0018025269372934</v>
      </c>
      <c r="S124" s="132">
        <f t="shared" si="54"/>
        <v>-0.39419850063573314</v>
      </c>
      <c r="T124" s="132">
        <f t="shared" si="54"/>
        <v>0.47744630431661433</v>
      </c>
      <c r="U124" s="132">
        <f t="shared" si="54"/>
        <v>0.55873076961207568</v>
      </c>
      <c r="V124" s="132">
        <f t="shared" si="54"/>
        <v>-3.6117288930062417</v>
      </c>
      <c r="W124" s="137"/>
      <c r="X124" s="135">
        <f>SUM(E124:V124)</f>
        <v>-4.3420855234519928</v>
      </c>
      <c r="Y124" s="112"/>
      <c r="Z124" s="135"/>
      <c r="AA124" s="112"/>
      <c r="AB124" s="112"/>
      <c r="AC124" s="112"/>
      <c r="AD124" s="112"/>
      <c r="AE124" s="112"/>
      <c r="AF124" s="112"/>
    </row>
    <row r="125" spans="1:32" s="67" customFormat="1" ht="12" x14ac:dyDescent="0.2">
      <c r="A125" s="67" t="s">
        <v>207</v>
      </c>
      <c r="B125" s="95" t="s">
        <v>194</v>
      </c>
      <c r="C125" s="31" t="s">
        <v>101</v>
      </c>
      <c r="D125" s="73"/>
      <c r="E125" s="117">
        <f t="shared" ref="E125:U125" si="55">E124-E112</f>
        <v>2.3184938925882479</v>
      </c>
      <c r="F125" s="117">
        <f t="shared" si="55"/>
        <v>1.7955866415983959</v>
      </c>
      <c r="G125" s="117">
        <f t="shared" si="55"/>
        <v>0.64225563597454971</v>
      </c>
      <c r="H125" s="117">
        <f t="shared" si="55"/>
        <v>0.43677734651409716</v>
      </c>
      <c r="I125" s="117">
        <f t="shared" si="55"/>
        <v>0.26170591019166611</v>
      </c>
      <c r="J125" s="117">
        <f t="shared" si="55"/>
        <v>-8.3422029066543057E-2</v>
      </c>
      <c r="K125" s="117">
        <f t="shared" si="55"/>
        <v>-6.8319544798983722E-2</v>
      </c>
      <c r="L125" s="117">
        <f t="shared" si="55"/>
        <v>1.3752049341173476</v>
      </c>
      <c r="M125" s="117">
        <f t="shared" si="55"/>
        <v>0.91473798211521329</v>
      </c>
      <c r="N125" s="117">
        <f t="shared" si="55"/>
        <v>-0.27990490663236134</v>
      </c>
      <c r="O125" s="117">
        <f t="shared" si="55"/>
        <v>1.049761827808976</v>
      </c>
      <c r="P125" s="117">
        <f t="shared" si="55"/>
        <v>0.57818814460163315</v>
      </c>
      <c r="Q125" s="117">
        <f t="shared" si="55"/>
        <v>-6.6792491292640754E-2</v>
      </c>
      <c r="R125" s="117">
        <f t="shared" si="55"/>
        <v>0.19045380418581281</v>
      </c>
      <c r="S125" s="117">
        <f t="shared" si="55"/>
        <v>0.56975120497095111</v>
      </c>
      <c r="T125" s="117">
        <f t="shared" si="55"/>
        <v>-0.50195125285381703</v>
      </c>
      <c r="U125" s="117">
        <f t="shared" si="55"/>
        <v>6.413794427692221E-2</v>
      </c>
      <c r="V125" s="117">
        <f>V124-V112</f>
        <v>5.1399957020420661E-2</v>
      </c>
      <c r="W125" s="137"/>
      <c r="X125" s="135">
        <f>SUM(E125:V125)</f>
        <v>9.2480650013198851</v>
      </c>
      <c r="Y125" s="112"/>
      <c r="Z125" s="135"/>
      <c r="AA125" s="112"/>
      <c r="AB125" s="112"/>
      <c r="AC125" s="112"/>
      <c r="AD125" s="112"/>
      <c r="AE125" s="112"/>
      <c r="AF125" s="112"/>
    </row>
    <row r="126" spans="1:32" s="67" customFormat="1" ht="12" x14ac:dyDescent="0.2">
      <c r="A126" s="68" t="s">
        <v>208</v>
      </c>
      <c r="C126" s="31"/>
      <c r="D126" s="73"/>
      <c r="E126" s="90">
        <f>E112</f>
        <v>1.2156133288352629</v>
      </c>
      <c r="F126" s="90">
        <f t="shared" ref="F126:U126" si="56">F112</f>
        <v>0.9130363373696575</v>
      </c>
      <c r="G126" s="90">
        <f t="shared" si="56"/>
        <v>0.24147136617889048</v>
      </c>
      <c r="H126" s="90">
        <f t="shared" si="56"/>
        <v>-2.2762508340975387</v>
      </c>
      <c r="I126" s="90">
        <f t="shared" si="56"/>
        <v>-3.2747213692204493</v>
      </c>
      <c r="J126" s="90">
        <f t="shared" si="56"/>
        <v>1.2711082476429367</v>
      </c>
      <c r="K126" s="90">
        <f t="shared" si="56"/>
        <v>-1.43437943757788</v>
      </c>
      <c r="L126" s="90">
        <f t="shared" si="56"/>
        <v>-1.4657789563126702</v>
      </c>
      <c r="M126" s="90">
        <f t="shared" si="56"/>
        <v>-0.48302071370975874</v>
      </c>
      <c r="N126" s="90">
        <f t="shared" si="56"/>
        <v>-3.0614412635773838</v>
      </c>
      <c r="O126" s="90">
        <f t="shared" si="56"/>
        <v>2.9973822939681372E-2</v>
      </c>
      <c r="P126" s="90">
        <f t="shared" si="56"/>
        <v>-0.37579098700452762</v>
      </c>
      <c r="Q126" s="90">
        <f t="shared" si="56"/>
        <v>2.4553744380127673</v>
      </c>
      <c r="R126" s="90">
        <f t="shared" si="56"/>
        <v>-4.1922563311231062</v>
      </c>
      <c r="S126" s="90">
        <f t="shared" si="56"/>
        <v>-0.96394970560668425</v>
      </c>
      <c r="T126" s="90">
        <f t="shared" si="56"/>
        <v>0.97939755717043131</v>
      </c>
      <c r="U126" s="90">
        <f t="shared" si="56"/>
        <v>0.49459282533515347</v>
      </c>
      <c r="V126" s="90">
        <f>V112</f>
        <v>-3.6631288500266623</v>
      </c>
      <c r="W126" s="137"/>
      <c r="X126" s="135">
        <f>SUM(E126:V126)</f>
        <v>-13.590150524771881</v>
      </c>
      <c r="Y126" s="112"/>
      <c r="Z126" s="135"/>
      <c r="AA126" s="112"/>
      <c r="AB126" s="112"/>
      <c r="AC126" s="112"/>
      <c r="AD126" s="112"/>
      <c r="AE126" s="112"/>
      <c r="AF126" s="112"/>
    </row>
    <row r="127" spans="1:32" s="67" customFormat="1" x14ac:dyDescent="0.2">
      <c r="A127" s="68"/>
      <c r="C127" s="31"/>
      <c r="D127" s="73"/>
      <c r="E127" s="90"/>
      <c r="F127" s="90"/>
      <c r="G127" s="90"/>
      <c r="H127" s="90"/>
      <c r="I127" s="90"/>
      <c r="J127" s="90"/>
      <c r="K127" s="90"/>
      <c r="L127" s="90"/>
      <c r="M127" s="90"/>
      <c r="N127" s="90"/>
      <c r="O127" s="90"/>
      <c r="P127" s="90"/>
      <c r="Q127" s="90"/>
      <c r="R127" s="90"/>
      <c r="S127" s="90"/>
      <c r="T127" s="90"/>
      <c r="U127" s="90"/>
      <c r="V127" s="90"/>
      <c r="W127" s="141"/>
      <c r="X127" s="74"/>
      <c r="Y127" s="112"/>
      <c r="Z127" s="135"/>
      <c r="AA127" s="112"/>
      <c r="AB127" s="112"/>
      <c r="AC127" s="112"/>
      <c r="AD127" s="112"/>
      <c r="AE127" s="112"/>
      <c r="AF127" s="112"/>
    </row>
    <row r="128" spans="1:32" s="67" customFormat="1" ht="12" x14ac:dyDescent="0.2">
      <c r="A128" s="68" t="s">
        <v>210</v>
      </c>
      <c r="D128" s="129">
        <v>1990</v>
      </c>
      <c r="E128" s="129">
        <f>D128+1</f>
        <v>1991</v>
      </c>
      <c r="F128" s="129">
        <f t="shared" ref="F128:V128" si="57">E128+1</f>
        <v>1992</v>
      </c>
      <c r="G128" s="129">
        <f t="shared" si="57"/>
        <v>1993</v>
      </c>
      <c r="H128" s="129">
        <f t="shared" si="57"/>
        <v>1994</v>
      </c>
      <c r="I128" s="129">
        <f t="shared" si="57"/>
        <v>1995</v>
      </c>
      <c r="J128" s="129">
        <f t="shared" si="57"/>
        <v>1996</v>
      </c>
      <c r="K128" s="129">
        <f t="shared" si="57"/>
        <v>1997</v>
      </c>
      <c r="L128" s="129">
        <f t="shared" si="57"/>
        <v>1998</v>
      </c>
      <c r="M128" s="129">
        <f t="shared" si="57"/>
        <v>1999</v>
      </c>
      <c r="N128" s="129">
        <f t="shared" si="57"/>
        <v>2000</v>
      </c>
      <c r="O128" s="129">
        <f t="shared" si="57"/>
        <v>2001</v>
      </c>
      <c r="P128" s="129">
        <f t="shared" si="57"/>
        <v>2002</v>
      </c>
      <c r="Q128" s="129">
        <f t="shared" si="57"/>
        <v>2003</v>
      </c>
      <c r="R128" s="129">
        <f t="shared" si="57"/>
        <v>2004</v>
      </c>
      <c r="S128" s="129">
        <f t="shared" si="57"/>
        <v>2005</v>
      </c>
      <c r="T128" s="129">
        <f t="shared" si="57"/>
        <v>2006</v>
      </c>
      <c r="U128" s="129">
        <f t="shared" si="57"/>
        <v>2007</v>
      </c>
      <c r="V128" s="129">
        <f t="shared" si="57"/>
        <v>2008</v>
      </c>
      <c r="W128" s="142"/>
      <c r="Y128" s="112"/>
      <c r="Z128" s="135"/>
      <c r="AA128" s="112"/>
      <c r="AB128" s="112"/>
      <c r="AC128" s="112"/>
      <c r="AD128" s="112"/>
      <c r="AE128" s="112"/>
      <c r="AF128" s="112"/>
    </row>
    <row r="129" spans="1:32" s="67" customFormat="1" ht="12" x14ac:dyDescent="0.2">
      <c r="A129" s="67" t="s">
        <v>204</v>
      </c>
      <c r="B129" s="95" t="s">
        <v>194</v>
      </c>
      <c r="C129" s="31" t="s">
        <v>101</v>
      </c>
      <c r="E129" s="90">
        <f t="shared" ref="E129:U131" si="58">E115+E122</f>
        <v>6.3962407061071502</v>
      </c>
      <c r="F129" s="90">
        <f t="shared" si="58"/>
        <v>6.9272837259499056</v>
      </c>
      <c r="G129" s="90">
        <f t="shared" si="58"/>
        <v>1.0620568044656551</v>
      </c>
      <c r="H129" s="90">
        <f t="shared" si="58"/>
        <v>3.7706165702272187</v>
      </c>
      <c r="I129" s="90">
        <f t="shared" si="58"/>
        <v>4.1204990087629483</v>
      </c>
      <c r="J129" s="90">
        <f t="shared" si="58"/>
        <v>4.9991339824194796</v>
      </c>
      <c r="K129" s="90">
        <f t="shared" si="58"/>
        <v>4.4106375605870909</v>
      </c>
      <c r="L129" s="90">
        <f t="shared" si="58"/>
        <v>5.0903712700471573</v>
      </c>
      <c r="M129" s="90">
        <f t="shared" si="58"/>
        <v>5.4988584229682687</v>
      </c>
      <c r="N129" s="90">
        <f t="shared" si="58"/>
        <v>-1.6995891321627568</v>
      </c>
      <c r="O129" s="90">
        <f t="shared" si="58"/>
        <v>4.2289788116434579</v>
      </c>
      <c r="P129" s="90">
        <f t="shared" si="58"/>
        <v>4.517794301151639</v>
      </c>
      <c r="Q129" s="90">
        <f t="shared" si="58"/>
        <v>3.6260720904520412</v>
      </c>
      <c r="R129" s="90">
        <f t="shared" si="58"/>
        <v>6.9382207884534353</v>
      </c>
      <c r="S129" s="90">
        <f t="shared" si="58"/>
        <v>1.1685521825162226</v>
      </c>
      <c r="T129" s="90">
        <f t="shared" si="58"/>
        <v>5.0968659660723716</v>
      </c>
      <c r="U129" s="90">
        <f t="shared" si="58"/>
        <v>6.1533531903077119</v>
      </c>
      <c r="V129" s="90">
        <f>V115+V122</f>
        <v>-6.7900459824718666</v>
      </c>
      <c r="W129" s="137"/>
      <c r="X129" s="135">
        <f>SUM(E129:V129)</f>
        <v>65.51590026749713</v>
      </c>
      <c r="Y129" s="112"/>
      <c r="Z129" s="135"/>
      <c r="AA129" s="135"/>
      <c r="AB129" s="135"/>
      <c r="AC129" s="135"/>
      <c r="AD129" s="112"/>
      <c r="AE129" s="112"/>
      <c r="AF129" s="112"/>
    </row>
    <row r="130" spans="1:32" s="67" customFormat="1" ht="12" x14ac:dyDescent="0.2">
      <c r="A130" s="67" t="s">
        <v>205</v>
      </c>
      <c r="B130" s="95" t="s">
        <v>194</v>
      </c>
      <c r="C130" s="31" t="s">
        <v>101</v>
      </c>
      <c r="E130" s="90">
        <f t="shared" si="58"/>
        <v>2.072977562874085</v>
      </c>
      <c r="F130" s="90">
        <f t="shared" si="58"/>
        <v>0.80741574656663695</v>
      </c>
      <c r="G130" s="90">
        <f t="shared" si="58"/>
        <v>-9.3211138628420676E-2</v>
      </c>
      <c r="H130" s="90">
        <f t="shared" si="58"/>
        <v>10.2917713877835</v>
      </c>
      <c r="I130" s="90">
        <f t="shared" si="58"/>
        <v>7.0439908351518525</v>
      </c>
      <c r="J130" s="90">
        <f t="shared" si="58"/>
        <v>3.4040207784400836</v>
      </c>
      <c r="K130" s="90">
        <f t="shared" si="58"/>
        <v>6.8864372565663157</v>
      </c>
      <c r="L130" s="90">
        <f t="shared" si="58"/>
        <v>6.3298843397823701</v>
      </c>
      <c r="M130" s="90">
        <f t="shared" si="58"/>
        <v>6.3488326942969966</v>
      </c>
      <c r="N130" s="90">
        <f t="shared" si="58"/>
        <v>7.3437759584484468</v>
      </c>
      <c r="O130" s="90">
        <f t="shared" si="58"/>
        <v>3.870325266095382</v>
      </c>
      <c r="P130" s="90">
        <f t="shared" si="58"/>
        <v>4.7195473977510041</v>
      </c>
      <c r="Q130" s="90">
        <f t="shared" si="58"/>
        <v>1.9333445486977949</v>
      </c>
      <c r="R130" s="90">
        <f t="shared" si="58"/>
        <v>11.014079009043177</v>
      </c>
      <c r="S130" s="90">
        <f t="shared" si="58"/>
        <v>2.8996707976787004</v>
      </c>
      <c r="T130" s="90">
        <f t="shared" si="58"/>
        <v>8.3485469381765505</v>
      </c>
      <c r="U130" s="90">
        <f t="shared" si="58"/>
        <v>7.5357201084080039</v>
      </c>
      <c r="V130" s="90">
        <f>V116+V123</f>
        <v>-2.9953970433995618</v>
      </c>
      <c r="W130" s="137"/>
      <c r="X130" s="135">
        <f>SUM(E130:V130)</f>
        <v>87.76173244373291</v>
      </c>
      <c r="Y130" s="112"/>
      <c r="Z130" s="135"/>
      <c r="AA130" s="135"/>
      <c r="AB130" s="135"/>
      <c r="AC130" s="135"/>
      <c r="AD130" s="112"/>
      <c r="AE130" s="112"/>
      <c r="AF130" s="112"/>
    </row>
    <row r="131" spans="1:32" s="67" customFormat="1" ht="12" x14ac:dyDescent="0.2">
      <c r="A131" s="67" t="s">
        <v>206</v>
      </c>
      <c r="B131" s="95" t="s">
        <v>194</v>
      </c>
      <c r="C131" s="31" t="s">
        <v>101</v>
      </c>
      <c r="E131" s="90">
        <f>E117+E124</f>
        <v>4.3232631432330919</v>
      </c>
      <c r="F131" s="90">
        <f t="shared" si="58"/>
        <v>6.1198679793832635</v>
      </c>
      <c r="G131" s="90">
        <f t="shared" si="58"/>
        <v>1.1552679430940744</v>
      </c>
      <c r="H131" s="90">
        <f t="shared" si="58"/>
        <v>-6.5211548175563028</v>
      </c>
      <c r="I131" s="90">
        <f t="shared" si="58"/>
        <v>-2.9234918263889198</v>
      </c>
      <c r="J131" s="90">
        <f t="shared" si="58"/>
        <v>1.5951132039794091</v>
      </c>
      <c r="K131" s="90">
        <f t="shared" si="58"/>
        <v>-2.4757996959792141</v>
      </c>
      <c r="L131" s="90">
        <f t="shared" si="58"/>
        <v>-1.2395130697351986</v>
      </c>
      <c r="M131" s="90">
        <f t="shared" si="58"/>
        <v>-0.84997427132876002</v>
      </c>
      <c r="N131" s="90">
        <f t="shared" si="58"/>
        <v>-9.0433650906111875</v>
      </c>
      <c r="O131" s="90">
        <f t="shared" si="58"/>
        <v>0.35865354554805384</v>
      </c>
      <c r="P131" s="90">
        <f t="shared" si="58"/>
        <v>-0.2017530965993439</v>
      </c>
      <c r="Q131" s="90">
        <f t="shared" si="58"/>
        <v>1.6927275417542185</v>
      </c>
      <c r="R131" s="90">
        <f t="shared" si="58"/>
        <v>-4.0758582205896934</v>
      </c>
      <c r="S131" s="90">
        <f t="shared" si="58"/>
        <v>-1.7311186151624904</v>
      </c>
      <c r="T131" s="90">
        <f t="shared" si="58"/>
        <v>-3.2516809721041677</v>
      </c>
      <c r="U131" s="90">
        <f t="shared" si="58"/>
        <v>-1.3823669181003244</v>
      </c>
      <c r="V131" s="90">
        <f>V117+V124</f>
        <v>-3.7946489390723186</v>
      </c>
      <c r="W131" s="137"/>
      <c r="X131" s="135">
        <f>SUM(E131:V131)</f>
        <v>-22.245832176235808</v>
      </c>
      <c r="Y131" s="112"/>
      <c r="Z131" s="135"/>
      <c r="AA131" s="135"/>
      <c r="AB131" s="135"/>
      <c r="AC131" s="135"/>
      <c r="AD131" s="112"/>
      <c r="AE131" s="112"/>
      <c r="AF131" s="112"/>
    </row>
    <row r="132" spans="1:32" s="67" customFormat="1" ht="12" x14ac:dyDescent="0.2">
      <c r="A132" s="67" t="s">
        <v>207</v>
      </c>
      <c r="B132" s="95" t="s">
        <v>194</v>
      </c>
      <c r="C132" s="31" t="s">
        <v>101</v>
      </c>
      <c r="E132" s="90">
        <f t="shared" ref="E132:U133" si="59">E118+E125</f>
        <v>4.697565723080432</v>
      </c>
      <c r="F132" s="90">
        <f t="shared" si="59"/>
        <v>2.9517801137212363</v>
      </c>
      <c r="G132" s="90">
        <f t="shared" si="59"/>
        <v>1.9949019704928519</v>
      </c>
      <c r="H132" s="90">
        <f t="shared" si="59"/>
        <v>1.6474533602029795</v>
      </c>
      <c r="I132" s="90">
        <f t="shared" si="59"/>
        <v>0.39650081704434098</v>
      </c>
      <c r="J132" s="90">
        <f t="shared" si="59"/>
        <v>0.22496776991608031</v>
      </c>
      <c r="K132" s="90">
        <f t="shared" si="59"/>
        <v>0.29254306045459555</v>
      </c>
      <c r="L132" s="90">
        <f t="shared" si="59"/>
        <v>1.7085398075501801</v>
      </c>
      <c r="M132" s="90">
        <f t="shared" si="59"/>
        <v>1.1562323323437593</v>
      </c>
      <c r="N132" s="90">
        <f t="shared" si="59"/>
        <v>-0.28096492039155585</v>
      </c>
      <c r="O132" s="90">
        <f t="shared" si="59"/>
        <v>1.3748948822054752</v>
      </c>
      <c r="P132" s="90">
        <f t="shared" si="59"/>
        <v>1.1341089254283494</v>
      </c>
      <c r="Q132" s="90">
        <f t="shared" si="59"/>
        <v>0.12705910604665671</v>
      </c>
      <c r="R132" s="90">
        <f t="shared" si="59"/>
        <v>0.12178979048465695</v>
      </c>
      <c r="S132" s="90">
        <f t="shared" si="59"/>
        <v>0.26644141454516379</v>
      </c>
      <c r="T132" s="90">
        <f t="shared" si="59"/>
        <v>-0.2580563184885003</v>
      </c>
      <c r="U132" s="90">
        <f t="shared" si="59"/>
        <v>-3.7332509825833582E-2</v>
      </c>
      <c r="V132" s="90">
        <f>V118+V125</f>
        <v>-0.6200727999711787</v>
      </c>
      <c r="W132" s="137"/>
      <c r="X132" s="135">
        <f>SUM(E132:V132)</f>
        <v>16.898352524839684</v>
      </c>
      <c r="Y132" s="112"/>
      <c r="Z132" s="135"/>
      <c r="AA132" s="135"/>
      <c r="AB132" s="135"/>
      <c r="AC132" s="135"/>
      <c r="AD132" s="112"/>
      <c r="AE132" s="112"/>
      <c r="AF132" s="112"/>
    </row>
    <row r="133" spans="1:32" s="67" customFormat="1" ht="12" x14ac:dyDescent="0.2">
      <c r="A133" s="68" t="s">
        <v>208</v>
      </c>
      <c r="C133" s="31"/>
      <c r="D133" s="73"/>
      <c r="E133" s="90">
        <f t="shared" si="59"/>
        <v>-0.37430257984734006</v>
      </c>
      <c r="F133" s="90">
        <f t="shared" si="59"/>
        <v>3.1680878656620268</v>
      </c>
      <c r="G133" s="90">
        <f t="shared" si="59"/>
        <v>-0.83963402739877724</v>
      </c>
      <c r="H133" s="90">
        <f t="shared" si="59"/>
        <v>-8.1686081777592818</v>
      </c>
      <c r="I133" s="90">
        <f t="shared" si="59"/>
        <v>-3.3199926434332609</v>
      </c>
      <c r="J133" s="90">
        <f t="shared" si="59"/>
        <v>1.3701454340633288</v>
      </c>
      <c r="K133" s="90">
        <f t="shared" si="59"/>
        <v>-2.7683427564338099</v>
      </c>
      <c r="L133" s="90">
        <f t="shared" si="59"/>
        <v>-2.9480528772853787</v>
      </c>
      <c r="M133" s="90">
        <f t="shared" si="59"/>
        <v>-2.0062066036725192</v>
      </c>
      <c r="N133" s="90">
        <f t="shared" si="59"/>
        <v>-8.7624001702196317</v>
      </c>
      <c r="O133" s="90">
        <f t="shared" si="59"/>
        <v>-1.0162413366574214</v>
      </c>
      <c r="P133" s="90">
        <f t="shared" si="59"/>
        <v>-1.3358620220276931</v>
      </c>
      <c r="Q133" s="90">
        <f t="shared" si="59"/>
        <v>1.5656684357075619</v>
      </c>
      <c r="R133" s="90">
        <f t="shared" si="59"/>
        <v>-4.1976480110743504</v>
      </c>
      <c r="S133" s="90">
        <f t="shared" si="59"/>
        <v>-1.9975600297076541</v>
      </c>
      <c r="T133" s="90">
        <f t="shared" si="59"/>
        <v>-2.9936246536156674</v>
      </c>
      <c r="U133" s="90">
        <f t="shared" si="59"/>
        <v>-1.3450344082744909</v>
      </c>
      <c r="V133" s="90">
        <f>V119+V126</f>
        <v>-3.1745761391011396</v>
      </c>
      <c r="W133" s="137"/>
      <c r="X133" s="135">
        <f>SUM(E133:V133)</f>
        <v>-39.144184701075503</v>
      </c>
      <c r="Y133" s="112"/>
      <c r="Z133" s="135"/>
      <c r="AA133" s="112"/>
      <c r="AB133" s="112"/>
      <c r="AC133" s="112"/>
      <c r="AD133" s="112"/>
      <c r="AE133" s="112"/>
      <c r="AF133" s="112"/>
    </row>
    <row r="134" spans="1:32" ht="15" x14ac:dyDescent="0.25">
      <c r="B134" s="143"/>
      <c r="C134" s="143"/>
      <c r="E134" s="90"/>
      <c r="F134" s="90"/>
      <c r="G134" s="90"/>
      <c r="H134" s="90"/>
      <c r="I134" s="90"/>
      <c r="J134" s="90"/>
      <c r="K134" s="90"/>
      <c r="L134" s="90"/>
      <c r="M134" s="90"/>
      <c r="N134" s="90"/>
      <c r="O134" s="90"/>
      <c r="P134" s="90"/>
      <c r="Q134" s="90"/>
      <c r="R134" s="90"/>
      <c r="S134" s="90"/>
      <c r="T134" s="90"/>
      <c r="U134" s="90"/>
      <c r="V134" s="90"/>
      <c r="W134" s="90"/>
      <c r="X134" s="112"/>
      <c r="Y134" s="112"/>
      <c r="Z134" s="112"/>
      <c r="AA134" s="112"/>
      <c r="AB134" s="112"/>
      <c r="AC134" s="112"/>
      <c r="AD134" s="112"/>
      <c r="AE134" s="112"/>
      <c r="AF134" s="112"/>
    </row>
    <row r="135" spans="1:32" s="30" customFormat="1" x14ac:dyDescent="0.2">
      <c r="A135" s="41" t="s">
        <v>211</v>
      </c>
      <c r="B135" s="41" t="s">
        <v>212</v>
      </c>
    </row>
    <row r="136" spans="1:32" s="30" customFormat="1" x14ac:dyDescent="0.2">
      <c r="B136" s="41">
        <v>1990</v>
      </c>
      <c r="C136" s="41">
        <v>2008</v>
      </c>
      <c r="L136" s="30" t="s">
        <v>213</v>
      </c>
    </row>
    <row r="137" spans="1:32" s="30" customFormat="1" ht="4.5" customHeight="1" x14ac:dyDescent="0.2">
      <c r="A137" s="41"/>
      <c r="B137" s="41"/>
      <c r="C137" s="41"/>
    </row>
    <row r="138" spans="1:32" s="30" customFormat="1" x14ac:dyDescent="0.2">
      <c r="A138" s="129" t="s">
        <v>214</v>
      </c>
      <c r="B138" s="144">
        <f>'EEA data'!D18/1000</f>
        <v>767.04423342480607</v>
      </c>
      <c r="C138" s="145">
        <f>'EEA data'!V18/1000</f>
        <v>950.72839363954495</v>
      </c>
      <c r="D138" s="145"/>
      <c r="E138" s="30" t="s">
        <v>215</v>
      </c>
    </row>
    <row r="139" spans="1:32" s="30" customFormat="1" x14ac:dyDescent="0.2">
      <c r="A139" s="100" t="s">
        <v>216</v>
      </c>
      <c r="B139" s="104">
        <v>432.32439139195918</v>
      </c>
      <c r="C139" s="104">
        <v>509.76862381817102</v>
      </c>
      <c r="D139" s="104"/>
      <c r="E139" s="30" t="s">
        <v>217</v>
      </c>
      <c r="L139" s="146">
        <f>C139/$C$138</f>
        <v>0.53618744031267729</v>
      </c>
      <c r="Q139" s="41"/>
      <c r="R139" s="41"/>
      <c r="S139" s="41"/>
    </row>
    <row r="140" spans="1:32" s="30" customFormat="1" x14ac:dyDescent="0.2">
      <c r="A140" s="100" t="s">
        <v>218</v>
      </c>
      <c r="B140" s="104">
        <v>243.55115765456131</v>
      </c>
      <c r="C140" s="104">
        <v>349.14822815440357</v>
      </c>
      <c r="D140" s="104"/>
      <c r="E140" s="30" t="s">
        <v>217</v>
      </c>
      <c r="L140" s="146">
        <f t="shared" ref="L140:L146" si="60">C140/$C$138</f>
        <v>0.36724287450573201</v>
      </c>
      <c r="Q140" s="41"/>
      <c r="R140" s="41"/>
      <c r="S140" s="41"/>
    </row>
    <row r="141" spans="1:32" s="30" customFormat="1" x14ac:dyDescent="0.2">
      <c r="A141" s="100" t="s">
        <v>219</v>
      </c>
      <c r="B141" s="104">
        <v>22.501328654647406</v>
      </c>
      <c r="C141" s="104">
        <v>20.150877630205848</v>
      </c>
      <c r="D141" s="104"/>
      <c r="E141" s="30" t="s">
        <v>217</v>
      </c>
      <c r="L141" s="146">
        <f t="shared" si="60"/>
        <v>2.1195199138909659E-2</v>
      </c>
      <c r="Q141" s="41"/>
      <c r="R141" s="41"/>
      <c r="S141" s="41"/>
    </row>
    <row r="142" spans="1:32" s="30" customFormat="1" x14ac:dyDescent="0.2">
      <c r="A142" s="100" t="s">
        <v>220</v>
      </c>
      <c r="B142" s="104">
        <v>6.4191429734860392</v>
      </c>
      <c r="C142" s="104">
        <v>10.684622651014745</v>
      </c>
      <c r="D142" s="104"/>
      <c r="E142" s="30" t="s">
        <v>217</v>
      </c>
      <c r="L142" s="146">
        <f t="shared" si="60"/>
        <v>1.1238354426454279E-2</v>
      </c>
    </row>
    <row r="143" spans="1:32" s="30" customFormat="1" x14ac:dyDescent="0.2">
      <c r="A143" s="100" t="s">
        <v>221</v>
      </c>
      <c r="B143" s="147">
        <f>'EEA data'!D19/1000</f>
        <v>17.2469339194204</v>
      </c>
      <c r="C143" s="104">
        <f>'EEA data'!V19/1000</f>
        <v>21.7831471447933</v>
      </c>
      <c r="D143" s="104"/>
      <c r="E143" s="30" t="s">
        <v>215</v>
      </c>
      <c r="L143" s="146">
        <f t="shared" si="60"/>
        <v>2.2912061205413066E-2</v>
      </c>
    </row>
    <row r="144" spans="1:32" s="30" customFormat="1" x14ac:dyDescent="0.2">
      <c r="A144" s="100" t="s">
        <v>222</v>
      </c>
      <c r="B144" s="147">
        <f>'EEA data'!D21/1000</f>
        <v>14.1133219190123</v>
      </c>
      <c r="C144" s="104">
        <f>'EEA data'!V21/1000</f>
        <v>7.7671101265265294</v>
      </c>
      <c r="D144" s="104"/>
      <c r="E144" s="30" t="s">
        <v>215</v>
      </c>
      <c r="L144" s="146">
        <f t="shared" si="60"/>
        <v>8.169641485927177E-3</v>
      </c>
    </row>
    <row r="145" spans="1:32" s="30" customFormat="1" x14ac:dyDescent="0.2">
      <c r="A145" s="100" t="s">
        <v>223</v>
      </c>
      <c r="B145" s="147">
        <f>'EEA data'!D22/1000</f>
        <v>20.055408611689998</v>
      </c>
      <c r="C145" s="104">
        <f>'EEA data'!V22/1000</f>
        <v>21.815848091475999</v>
      </c>
      <c r="D145" s="104"/>
      <c r="E145" s="30" t="s">
        <v>215</v>
      </c>
      <c r="L145" s="146">
        <f t="shared" si="60"/>
        <v>2.2946456882350318E-2</v>
      </c>
    </row>
    <row r="146" spans="1:32" s="30" customFormat="1" x14ac:dyDescent="0.2">
      <c r="A146" s="100" t="s">
        <v>224</v>
      </c>
      <c r="B146" s="147">
        <f>'EEA data'!D23/1000</f>
        <v>10.832548300029201</v>
      </c>
      <c r="C146" s="104">
        <f>'EEA data'!V23/1000</f>
        <v>9.6099360229546402</v>
      </c>
      <c r="D146" s="104"/>
      <c r="E146" s="30" t="s">
        <v>215</v>
      </c>
      <c r="L146" s="146">
        <f t="shared" si="60"/>
        <v>1.0107972042537008E-2</v>
      </c>
    </row>
    <row r="147" spans="1:32" ht="15" x14ac:dyDescent="0.25">
      <c r="B147" s="143"/>
      <c r="C147" s="32"/>
      <c r="X147" s="112"/>
      <c r="Y147" s="112"/>
      <c r="Z147" s="112"/>
      <c r="AA147" s="112"/>
      <c r="AB147" s="112"/>
      <c r="AC147" s="112"/>
      <c r="AD147" s="112"/>
      <c r="AE147" s="112"/>
      <c r="AF147" s="112"/>
    </row>
    <row r="148" spans="1:32" ht="15" x14ac:dyDescent="0.25">
      <c r="A148" s="148" t="s">
        <v>225</v>
      </c>
      <c r="B148" s="149"/>
      <c r="C148" s="149"/>
      <c r="D148" s="150"/>
      <c r="E148" s="150"/>
    </row>
    <row r="149" spans="1:32" s="30" customFormat="1" ht="12" x14ac:dyDescent="0.2">
      <c r="A149" s="151"/>
      <c r="D149" s="152"/>
      <c r="E149" s="152"/>
    </row>
    <row r="150" spans="1:32" s="41" customFormat="1" x14ac:dyDescent="0.2">
      <c r="A150" s="41" t="s">
        <v>226</v>
      </c>
      <c r="D150" s="30">
        <v>1990</v>
      </c>
      <c r="E150" s="30">
        <v>1991</v>
      </c>
      <c r="F150" s="30">
        <v>1992</v>
      </c>
      <c r="G150" s="30">
        <v>1993</v>
      </c>
      <c r="H150" s="30">
        <v>1994</v>
      </c>
      <c r="I150" s="30">
        <v>1995</v>
      </c>
      <c r="J150" s="30">
        <v>1996</v>
      </c>
      <c r="K150" s="30">
        <v>1997</v>
      </c>
      <c r="L150" s="30">
        <v>1998</v>
      </c>
      <c r="M150" s="30">
        <v>1999</v>
      </c>
      <c r="N150" s="30">
        <v>2000</v>
      </c>
      <c r="O150" s="30">
        <v>2001</v>
      </c>
      <c r="P150" s="30">
        <v>2002</v>
      </c>
      <c r="Q150" s="30">
        <v>2003</v>
      </c>
      <c r="R150" s="30">
        <v>2004</v>
      </c>
      <c r="S150" s="30">
        <v>2005</v>
      </c>
      <c r="T150" s="30">
        <v>2006</v>
      </c>
      <c r="U150" s="30">
        <v>2007</v>
      </c>
      <c r="V150" s="30">
        <v>2008</v>
      </c>
      <c r="X150" s="41" t="s">
        <v>227</v>
      </c>
    </row>
    <row r="151" spans="1:32" s="41" customFormat="1" ht="14.25" customHeight="1" x14ac:dyDescent="0.2">
      <c r="A151" s="41" t="s">
        <v>228</v>
      </c>
      <c r="B151" s="41" t="s">
        <v>157</v>
      </c>
      <c r="C151" s="41" t="s">
        <v>101</v>
      </c>
      <c r="D151" s="145">
        <f t="shared" ref="D151:U151" si="61">D153+D154+D155+D156+D157</f>
        <v>4426.0276628042284</v>
      </c>
      <c r="E151" s="145">
        <f t="shared" si="61"/>
        <v>4561.2226206280375</v>
      </c>
      <c r="F151" s="145">
        <f t="shared" si="61"/>
        <v>4615.5540985405405</v>
      </c>
      <c r="G151" s="145">
        <f t="shared" si="61"/>
        <v>4649.183147313267</v>
      </c>
      <c r="H151" s="145">
        <f t="shared" si="61"/>
        <v>4788.9830854175661</v>
      </c>
      <c r="I151" s="145">
        <f t="shared" si="61"/>
        <v>4865.7080894883456</v>
      </c>
      <c r="J151" s="145">
        <f t="shared" si="61"/>
        <v>4939.8431116424672</v>
      </c>
      <c r="K151" s="145">
        <f t="shared" si="61"/>
        <v>5025.1388842493589</v>
      </c>
      <c r="L151" s="145">
        <f t="shared" si="61"/>
        <v>5135.0177434602292</v>
      </c>
      <c r="M151" s="145">
        <f t="shared" si="61"/>
        <v>5254.1451646258383</v>
      </c>
      <c r="N151" s="145">
        <f t="shared" si="61"/>
        <v>5357.5832318315424</v>
      </c>
      <c r="O151" s="145">
        <f t="shared" si="61"/>
        <v>5444.1590342788268</v>
      </c>
      <c r="P151" s="145">
        <f t="shared" si="61"/>
        <v>5511.5487784426768</v>
      </c>
      <c r="Q151" s="145">
        <f t="shared" si="61"/>
        <v>5543.1899642636145</v>
      </c>
      <c r="R151" s="145">
        <f t="shared" si="61"/>
        <v>5622.6566050985066</v>
      </c>
      <c r="S151" s="145">
        <f t="shared" si="61"/>
        <v>5632.5695580000011</v>
      </c>
      <c r="T151" s="145">
        <f t="shared" si="61"/>
        <v>5764.3466229999995</v>
      </c>
      <c r="U151" s="145">
        <f t="shared" si="61"/>
        <v>5870.7596521999994</v>
      </c>
      <c r="V151" s="145">
        <f>V153+V154+V155+V156+V157</f>
        <v>5855.3358136400002</v>
      </c>
      <c r="W151" s="145"/>
      <c r="X151" s="41" t="s">
        <v>229</v>
      </c>
    </row>
    <row r="152" spans="1:32" s="30" customFormat="1" ht="9" customHeight="1" x14ac:dyDescent="0.2">
      <c r="A152" s="30" t="s">
        <v>230</v>
      </c>
    </row>
    <row r="153" spans="1:32" s="30" customFormat="1" x14ac:dyDescent="0.2">
      <c r="A153" s="30" t="s">
        <v>231</v>
      </c>
      <c r="B153" s="30" t="s">
        <v>157</v>
      </c>
      <c r="C153" s="30" t="s">
        <v>101</v>
      </c>
      <c r="D153" s="104">
        <f t="shared" ref="D153:U156" si="62">D53</f>
        <v>3351.4217315288652</v>
      </c>
      <c r="E153" s="104">
        <f t="shared" si="62"/>
        <v>3531.1709442723513</v>
      </c>
      <c r="F153" s="104">
        <f t="shared" si="62"/>
        <v>3609.2126562225458</v>
      </c>
      <c r="G153" s="104">
        <f t="shared" si="62"/>
        <v>3678.2148705834379</v>
      </c>
      <c r="H153" s="104">
        <f t="shared" si="62"/>
        <v>3828.6739924351796</v>
      </c>
      <c r="I153" s="104">
        <f t="shared" si="62"/>
        <v>3892.9974954999993</v>
      </c>
      <c r="J153" s="104">
        <f t="shared" si="62"/>
        <v>3960.5039999999995</v>
      </c>
      <c r="K153" s="104">
        <f t="shared" si="62"/>
        <v>4039.0419999999999</v>
      </c>
      <c r="L153" s="104">
        <f t="shared" si="62"/>
        <v>4137.4914551000002</v>
      </c>
      <c r="M153" s="104">
        <f t="shared" si="62"/>
        <v>4240.4970000000012</v>
      </c>
      <c r="N153" s="104">
        <f t="shared" si="62"/>
        <v>4321.9531157000001</v>
      </c>
      <c r="O153" s="104">
        <f t="shared" si="62"/>
        <v>4405.5201529999995</v>
      </c>
      <c r="P153" s="104">
        <f t="shared" si="62"/>
        <v>4480.4816396000006</v>
      </c>
      <c r="Q153" s="104">
        <f t="shared" si="62"/>
        <v>4511.0193115000011</v>
      </c>
      <c r="R153" s="104">
        <f t="shared" si="62"/>
        <v>4570.0373999999993</v>
      </c>
      <c r="S153" s="104">
        <f t="shared" si="62"/>
        <v>4563.5205000000005</v>
      </c>
      <c r="T153" s="104">
        <f t="shared" si="62"/>
        <v>4679.5186000000003</v>
      </c>
      <c r="U153" s="104">
        <f t="shared" si="62"/>
        <v>4759.9632000000001</v>
      </c>
      <c r="V153" s="104">
        <f>V53</f>
        <v>4724.9530000000004</v>
      </c>
      <c r="W153" s="104"/>
      <c r="X153" s="30" t="s">
        <v>229</v>
      </c>
    </row>
    <row r="154" spans="1:32" s="30" customFormat="1" x14ac:dyDescent="0.2">
      <c r="A154" s="30" t="s">
        <v>232</v>
      </c>
      <c r="B154" s="30" t="s">
        <v>157</v>
      </c>
      <c r="C154" s="30" t="s">
        <v>101</v>
      </c>
      <c r="D154" s="104">
        <f t="shared" si="62"/>
        <v>556.91371570257331</v>
      </c>
      <c r="E154" s="104">
        <f t="shared" si="62"/>
        <v>529.87522640946838</v>
      </c>
      <c r="F154" s="104">
        <f t="shared" si="62"/>
        <v>514.80740099796299</v>
      </c>
      <c r="G154" s="104">
        <f t="shared" si="62"/>
        <v>504.8705021900771</v>
      </c>
      <c r="H154" s="104">
        <f t="shared" si="62"/>
        <v>499.77062819621466</v>
      </c>
      <c r="I154" s="104">
        <f t="shared" si="62"/>
        <v>499.80668298834593</v>
      </c>
      <c r="J154" s="104">
        <f t="shared" si="62"/>
        <v>503.74738164246889</v>
      </c>
      <c r="K154" s="104">
        <f t="shared" si="62"/>
        <v>504.50601824935836</v>
      </c>
      <c r="L154" s="104">
        <f t="shared" si="62"/>
        <v>512.5016213602288</v>
      </c>
      <c r="M154" s="104">
        <f t="shared" si="62"/>
        <v>515.15455062583737</v>
      </c>
      <c r="N154" s="104">
        <f t="shared" si="62"/>
        <v>518.24928013154158</v>
      </c>
      <c r="O154" s="104">
        <f t="shared" si="62"/>
        <v>519.78162549882632</v>
      </c>
      <c r="P154" s="104">
        <f t="shared" si="62"/>
        <v>518.86021921267593</v>
      </c>
      <c r="Q154" s="104">
        <f t="shared" si="62"/>
        <v>520.08736916361352</v>
      </c>
      <c r="R154" s="104">
        <f t="shared" si="62"/>
        <v>526.90736732850792</v>
      </c>
      <c r="S154" s="104">
        <f t="shared" si="62"/>
        <v>528.49788246000003</v>
      </c>
      <c r="T154" s="104">
        <f t="shared" si="62"/>
        <v>527.84047400000009</v>
      </c>
      <c r="U154" s="104">
        <f t="shared" si="62"/>
        <v>541.96166199999993</v>
      </c>
      <c r="V154" s="104">
        <f>V54</f>
        <v>546.72250000000008</v>
      </c>
      <c r="W154" s="104"/>
      <c r="X154" s="30" t="s">
        <v>229</v>
      </c>
    </row>
    <row r="155" spans="1:32" s="30" customFormat="1" x14ac:dyDescent="0.2">
      <c r="A155" s="30" t="s">
        <v>233</v>
      </c>
      <c r="B155" s="30" t="s">
        <v>157</v>
      </c>
      <c r="C155" s="30" t="s">
        <v>101</v>
      </c>
      <c r="D155" s="104">
        <f t="shared" si="62"/>
        <v>400.70699999999988</v>
      </c>
      <c r="E155" s="104">
        <f t="shared" si="62"/>
        <v>385.36200000000002</v>
      </c>
      <c r="F155" s="104">
        <f t="shared" si="62"/>
        <v>374.38</v>
      </c>
      <c r="G155" s="104">
        <f t="shared" si="62"/>
        <v>349.07400000000001</v>
      </c>
      <c r="H155" s="104">
        <f t="shared" si="62"/>
        <v>342.16199999999998</v>
      </c>
      <c r="I155" s="104">
        <f t="shared" si="62"/>
        <v>350.52470000000005</v>
      </c>
      <c r="J155" s="104">
        <f t="shared" si="62"/>
        <v>348.99180000000013</v>
      </c>
      <c r="K155" s="104">
        <f t="shared" si="62"/>
        <v>350.53159999999991</v>
      </c>
      <c r="L155" s="104">
        <f t="shared" si="62"/>
        <v>350.60320000000007</v>
      </c>
      <c r="M155" s="104">
        <f t="shared" si="62"/>
        <v>358.59970000000004</v>
      </c>
      <c r="N155" s="104">
        <f t="shared" si="62"/>
        <v>370.70809999999994</v>
      </c>
      <c r="O155" s="104">
        <f t="shared" si="62"/>
        <v>372.739349</v>
      </c>
      <c r="P155" s="104">
        <f t="shared" si="62"/>
        <v>365.5702500000001</v>
      </c>
      <c r="Q155" s="104">
        <f t="shared" si="62"/>
        <v>361.88681399999996</v>
      </c>
      <c r="R155" s="104">
        <f t="shared" si="62"/>
        <v>367.81683299999997</v>
      </c>
      <c r="S155" s="104">
        <f t="shared" si="62"/>
        <v>376.96839900000009</v>
      </c>
      <c r="T155" s="104">
        <f t="shared" si="62"/>
        <v>388.87891100000002</v>
      </c>
      <c r="U155" s="104">
        <f t="shared" si="62"/>
        <v>395.29815400000007</v>
      </c>
      <c r="V155" s="104">
        <f>V55</f>
        <v>409.19773000000015</v>
      </c>
      <c r="W155" s="104"/>
      <c r="X155" s="30" t="s">
        <v>229</v>
      </c>
    </row>
    <row r="156" spans="1:32" s="30" customFormat="1" x14ac:dyDescent="0.2">
      <c r="A156" s="30" t="s">
        <v>234</v>
      </c>
      <c r="B156" s="30" t="s">
        <v>157</v>
      </c>
      <c r="C156" s="30" t="s">
        <v>101</v>
      </c>
      <c r="D156" s="104">
        <f t="shared" si="62"/>
        <v>71</v>
      </c>
      <c r="E156" s="104">
        <f t="shared" si="62"/>
        <v>71</v>
      </c>
      <c r="F156" s="104">
        <f t="shared" si="62"/>
        <v>71</v>
      </c>
      <c r="G156" s="104">
        <f t="shared" si="62"/>
        <v>71</v>
      </c>
      <c r="H156" s="104">
        <f t="shared" si="62"/>
        <v>71</v>
      </c>
      <c r="I156" s="104">
        <f t="shared" si="62"/>
        <v>71.088490000000007</v>
      </c>
      <c r="J156" s="104">
        <f t="shared" si="62"/>
        <v>71.947299999999998</v>
      </c>
      <c r="K156" s="104">
        <f t="shared" si="62"/>
        <v>72.502700000000004</v>
      </c>
      <c r="L156" s="104">
        <f t="shared" si="62"/>
        <v>73.524263999999988</v>
      </c>
      <c r="M156" s="104">
        <f t="shared" si="62"/>
        <v>75.080742000000001</v>
      </c>
      <c r="N156" s="104">
        <f t="shared" si="62"/>
        <v>77.144400000000005</v>
      </c>
      <c r="O156" s="104">
        <f t="shared" si="62"/>
        <v>77.812262779999998</v>
      </c>
      <c r="P156" s="104">
        <f t="shared" si="62"/>
        <v>78.496711629999993</v>
      </c>
      <c r="Q156" s="104">
        <f t="shared" si="62"/>
        <v>79.313020599999987</v>
      </c>
      <c r="R156" s="104">
        <f t="shared" si="62"/>
        <v>81.935581769999999</v>
      </c>
      <c r="S156" s="104">
        <f t="shared" si="62"/>
        <v>82.399041539999999</v>
      </c>
      <c r="T156" s="104">
        <f t="shared" si="62"/>
        <v>84.154035999999991</v>
      </c>
      <c r="U156" s="104">
        <f t="shared" si="62"/>
        <v>85.925028000000012</v>
      </c>
      <c r="V156" s="104">
        <f>V56</f>
        <v>88.960045400000013</v>
      </c>
      <c r="W156" s="104"/>
      <c r="X156" s="30" t="s">
        <v>229</v>
      </c>
    </row>
    <row r="157" spans="1:32" s="30" customFormat="1" x14ac:dyDescent="0.2">
      <c r="A157" s="30" t="s">
        <v>235</v>
      </c>
      <c r="B157" s="30" t="s">
        <v>157</v>
      </c>
      <c r="C157" s="30" t="s">
        <v>101</v>
      </c>
      <c r="D157" s="104">
        <v>45.985215572789905</v>
      </c>
      <c r="E157" s="104">
        <v>43.814449946217778</v>
      </c>
      <c r="F157" s="104">
        <v>46.154041320031709</v>
      </c>
      <c r="G157" s="104">
        <v>46.023774539752537</v>
      </c>
      <c r="H157" s="104">
        <v>47.376464786171447</v>
      </c>
      <c r="I157" s="104">
        <v>51.290720999999998</v>
      </c>
      <c r="J157" s="104">
        <v>54.652630000000002</v>
      </c>
      <c r="K157" s="104">
        <v>58.556565999999997</v>
      </c>
      <c r="L157" s="104">
        <v>60.897202999999998</v>
      </c>
      <c r="M157" s="104">
        <v>64.813171999999994</v>
      </c>
      <c r="N157" s="104">
        <v>69.528335999999996</v>
      </c>
      <c r="O157" s="104">
        <v>68.305644000000001</v>
      </c>
      <c r="P157" s="104">
        <v>68.139958000000007</v>
      </c>
      <c r="Q157" s="104">
        <v>70.883448999999999</v>
      </c>
      <c r="R157" s="104">
        <v>75.959422999999987</v>
      </c>
      <c r="S157" s="104">
        <v>81.183734999999999</v>
      </c>
      <c r="T157" s="104">
        <v>83.954602000000008</v>
      </c>
      <c r="U157" s="104">
        <v>87.611608199999992</v>
      </c>
      <c r="V157" s="104">
        <v>85.502538240000007</v>
      </c>
      <c r="W157" s="104"/>
      <c r="X157" s="30" t="s">
        <v>229</v>
      </c>
    </row>
    <row r="158" spans="1:32" s="30" customFormat="1" x14ac:dyDescent="0.2">
      <c r="D158" s="104"/>
      <c r="E158" s="104"/>
      <c r="F158" s="104"/>
      <c r="G158" s="104"/>
      <c r="H158" s="104"/>
      <c r="I158" s="104"/>
      <c r="J158" s="104"/>
      <c r="K158" s="104"/>
      <c r="L158" s="104"/>
      <c r="M158" s="104"/>
      <c r="N158" s="104"/>
      <c r="O158" s="104"/>
      <c r="P158" s="104"/>
      <c r="Q158" s="104"/>
      <c r="R158" s="104"/>
      <c r="S158" s="104"/>
      <c r="T158" s="104"/>
      <c r="U158" s="104"/>
      <c r="V158" s="104"/>
      <c r="W158" s="104"/>
    </row>
    <row r="159" spans="1:32" s="41" customFormat="1" x14ac:dyDescent="0.2">
      <c r="A159" s="41" t="s">
        <v>236</v>
      </c>
      <c r="B159" s="41" t="s">
        <v>167</v>
      </c>
      <c r="C159" s="41" t="s">
        <v>101</v>
      </c>
      <c r="D159" s="145">
        <f t="shared" ref="D159:U159" si="63">D160+D161+D162</f>
        <v>1714.2089273549948</v>
      </c>
      <c r="E159" s="145">
        <f t="shared" si="63"/>
        <v>1662.3617778574444</v>
      </c>
      <c r="F159" s="145">
        <f t="shared" si="63"/>
        <v>1643.7608305147414</v>
      </c>
      <c r="G159" s="145">
        <f t="shared" si="63"/>
        <v>1620.5334227193919</v>
      </c>
      <c r="H159" s="145">
        <f t="shared" si="63"/>
        <v>1715.299908892629</v>
      </c>
      <c r="I159" s="145">
        <f t="shared" si="63"/>
        <v>1796.8892760000001</v>
      </c>
      <c r="J159" s="145">
        <f t="shared" si="63"/>
        <v>1814.4814919999999</v>
      </c>
      <c r="K159" s="145">
        <f t="shared" si="63"/>
        <v>1889.0631270000001</v>
      </c>
      <c r="L159" s="145">
        <f t="shared" si="63"/>
        <v>1937.7218795509998</v>
      </c>
      <c r="M159" s="145">
        <f t="shared" si="63"/>
        <v>1982.2929140029396</v>
      </c>
      <c r="N159" s="145">
        <f t="shared" si="63"/>
        <v>2056.243104242224</v>
      </c>
      <c r="O159" s="145">
        <f t="shared" si="63"/>
        <v>2074.7700618522572</v>
      </c>
      <c r="P159" s="145">
        <f t="shared" si="63"/>
        <v>2122.179470553031</v>
      </c>
      <c r="Q159" s="145">
        <f t="shared" si="63"/>
        <v>2140.8402539546241</v>
      </c>
      <c r="R159" s="145">
        <f t="shared" si="63"/>
        <v>2300.2918212604327</v>
      </c>
      <c r="S159" s="145">
        <f t="shared" si="63"/>
        <v>2353.0505548501333</v>
      </c>
      <c r="T159" s="145">
        <f t="shared" si="63"/>
        <v>2433.1334893529452</v>
      </c>
      <c r="U159" s="145">
        <f t="shared" si="63"/>
        <v>2514.9873518789996</v>
      </c>
      <c r="V159" s="145">
        <f>V160+V161+V162</f>
        <v>2465.7386143999997</v>
      </c>
      <c r="W159" s="145"/>
      <c r="X159" s="41" t="s">
        <v>229</v>
      </c>
    </row>
    <row r="160" spans="1:32" s="30" customFormat="1" x14ac:dyDescent="0.2">
      <c r="A160" s="30" t="s">
        <v>237</v>
      </c>
      <c r="B160" s="30" t="s">
        <v>167</v>
      </c>
      <c r="C160" s="30" t="s">
        <v>101</v>
      </c>
      <c r="D160" s="103">
        <f t="shared" ref="D160:U162" si="64">D61</f>
        <v>1123.9610554361116</v>
      </c>
      <c r="E160" s="103">
        <f t="shared" si="64"/>
        <v>1130.4054503523312</v>
      </c>
      <c r="F160" s="103">
        <f t="shared" si="64"/>
        <v>1150.9414324053419</v>
      </c>
      <c r="G160" s="103">
        <f t="shared" si="64"/>
        <v>1150.8779330753596</v>
      </c>
      <c r="H160" s="103">
        <f t="shared" si="64"/>
        <v>1223.3002865742326</v>
      </c>
      <c r="I160" s="103">
        <f t="shared" si="64"/>
        <v>1288.6600000000001</v>
      </c>
      <c r="J160" s="103">
        <f t="shared" si="64"/>
        <v>1302.5789999999997</v>
      </c>
      <c r="K160" s="103">
        <f t="shared" si="64"/>
        <v>1351.6780000000001</v>
      </c>
      <c r="L160" s="103">
        <f t="shared" si="64"/>
        <v>1414.2039999999997</v>
      </c>
      <c r="M160" s="103">
        <f t="shared" si="64"/>
        <v>1469.9409999999998</v>
      </c>
      <c r="N160" s="103">
        <f t="shared" si="64"/>
        <v>1518.7060000000001</v>
      </c>
      <c r="O160" s="103">
        <f t="shared" si="64"/>
        <v>1556.2670000000003</v>
      </c>
      <c r="P160" s="103">
        <f t="shared" si="64"/>
        <v>1605.8980000000001</v>
      </c>
      <c r="Q160" s="103">
        <f t="shared" si="64"/>
        <v>1625.4370000000001</v>
      </c>
      <c r="R160" s="103">
        <f t="shared" si="64"/>
        <v>1747.2860000000001</v>
      </c>
      <c r="S160" s="103">
        <f t="shared" si="64"/>
        <v>1800.2540000000001</v>
      </c>
      <c r="T160" s="103">
        <f t="shared" si="64"/>
        <v>1854.2739999999999</v>
      </c>
      <c r="U160" s="103">
        <f t="shared" si="64"/>
        <v>1914.9339999999997</v>
      </c>
      <c r="V160" s="103">
        <f>V61</f>
        <v>1877.729</v>
      </c>
      <c r="W160" s="103"/>
      <c r="X160" s="30" t="s">
        <v>229</v>
      </c>
    </row>
    <row r="161" spans="1:24" s="30" customFormat="1" x14ac:dyDescent="0.2">
      <c r="A161" s="30" t="s">
        <v>238</v>
      </c>
      <c r="B161" s="30" t="s">
        <v>167</v>
      </c>
      <c r="C161" s="30" t="s">
        <v>101</v>
      </c>
      <c r="D161" s="103">
        <f t="shared" si="64"/>
        <v>471.91264477388302</v>
      </c>
      <c r="E161" s="103">
        <f t="shared" si="64"/>
        <v>415.24792583211331</v>
      </c>
      <c r="F161" s="103">
        <f t="shared" si="64"/>
        <v>377.7626597063994</v>
      </c>
      <c r="G161" s="103">
        <f t="shared" si="64"/>
        <v>360.56824683403244</v>
      </c>
      <c r="H161" s="103">
        <f t="shared" si="64"/>
        <v>373.21639146939634</v>
      </c>
      <c r="I161" s="103">
        <f t="shared" si="64"/>
        <v>386.14406800000006</v>
      </c>
      <c r="J161" s="103">
        <f t="shared" si="64"/>
        <v>392.14600000000007</v>
      </c>
      <c r="K161" s="103">
        <f t="shared" si="64"/>
        <v>409.53699999999992</v>
      </c>
      <c r="L161" s="103">
        <f t="shared" si="64"/>
        <v>392.50652500000001</v>
      </c>
      <c r="M161" s="103">
        <f t="shared" si="64"/>
        <v>383.62501500293985</v>
      </c>
      <c r="N161" s="103">
        <f t="shared" si="64"/>
        <v>403.67575464222409</v>
      </c>
      <c r="O161" s="103">
        <f t="shared" si="64"/>
        <v>385.9743022522569</v>
      </c>
      <c r="P161" s="103">
        <f t="shared" si="64"/>
        <v>383.777192553031</v>
      </c>
      <c r="Q161" s="103">
        <f t="shared" si="64"/>
        <v>391.88826875462399</v>
      </c>
      <c r="R161" s="103">
        <f t="shared" si="64"/>
        <v>416.271370260433</v>
      </c>
      <c r="S161" s="103">
        <f t="shared" si="64"/>
        <v>414.13418045013304</v>
      </c>
      <c r="T161" s="103">
        <f t="shared" si="64"/>
        <v>440.39892025294506</v>
      </c>
      <c r="U161" s="103">
        <f t="shared" si="64"/>
        <v>453.08499999999998</v>
      </c>
      <c r="V161" s="103">
        <f>V62</f>
        <v>442.73899999999998</v>
      </c>
      <c r="W161" s="103"/>
      <c r="X161" s="30" t="s">
        <v>229</v>
      </c>
    </row>
    <row r="162" spans="1:24" s="30" customFormat="1" x14ac:dyDescent="0.2">
      <c r="A162" s="30" t="s">
        <v>239</v>
      </c>
      <c r="B162" s="30" t="s">
        <v>167</v>
      </c>
      <c r="C162" s="30" t="s">
        <v>101</v>
      </c>
      <c r="D162" s="153">
        <f t="shared" si="64"/>
        <v>118.33522714499999</v>
      </c>
      <c r="E162" s="153">
        <f t="shared" si="64"/>
        <v>116.70840167300001</v>
      </c>
      <c r="F162" s="153">
        <f t="shared" si="64"/>
        <v>115.05673840299998</v>
      </c>
      <c r="G162" s="153">
        <f t="shared" si="64"/>
        <v>109.08724280999999</v>
      </c>
      <c r="H162" s="153">
        <f t="shared" si="64"/>
        <v>118.78323084900002</v>
      </c>
      <c r="I162" s="153">
        <f t="shared" si="64"/>
        <v>122.08520799999998</v>
      </c>
      <c r="J162" s="153">
        <f t="shared" si="64"/>
        <v>119.75649199999998</v>
      </c>
      <c r="K162" s="153">
        <f t="shared" si="64"/>
        <v>127.84812699999999</v>
      </c>
      <c r="L162" s="153">
        <f t="shared" si="64"/>
        <v>131.01135455100001</v>
      </c>
      <c r="M162" s="153">
        <f t="shared" si="64"/>
        <v>128.726899</v>
      </c>
      <c r="N162" s="153">
        <f t="shared" si="64"/>
        <v>133.86134960000001</v>
      </c>
      <c r="O162" s="153">
        <f t="shared" si="64"/>
        <v>132.5287596</v>
      </c>
      <c r="P162" s="153">
        <f t="shared" si="64"/>
        <v>132.504278</v>
      </c>
      <c r="Q162" s="153">
        <f t="shared" si="64"/>
        <v>123.5149852</v>
      </c>
      <c r="R162" s="153">
        <f t="shared" si="64"/>
        <v>136.73445100000004</v>
      </c>
      <c r="S162" s="153">
        <f t="shared" si="64"/>
        <v>138.66237439999995</v>
      </c>
      <c r="T162" s="153">
        <f t="shared" si="64"/>
        <v>138.46056909999999</v>
      </c>
      <c r="U162" s="153">
        <f t="shared" si="64"/>
        <v>146.96835187899998</v>
      </c>
      <c r="V162" s="153">
        <f>V63</f>
        <v>145.27061440000003</v>
      </c>
      <c r="W162" s="153"/>
      <c r="X162" s="30" t="s">
        <v>229</v>
      </c>
    </row>
    <row r="163" spans="1:24" ht="15" x14ac:dyDescent="0.25">
      <c r="A163" s="152"/>
      <c r="B163" s="152"/>
      <c r="C163" s="30"/>
      <c r="D163" s="152"/>
      <c r="E163" s="152"/>
    </row>
    <row r="164" spans="1:24" ht="15" x14ac:dyDescent="0.25">
      <c r="A164" s="151" t="s">
        <v>240</v>
      </c>
      <c r="B164" s="41" t="s">
        <v>241</v>
      </c>
      <c r="D164" s="151">
        <v>1990</v>
      </c>
      <c r="E164" s="151">
        <v>2008</v>
      </c>
    </row>
    <row r="165" spans="1:24" ht="15" x14ac:dyDescent="0.25">
      <c r="A165" s="152" t="s">
        <v>242</v>
      </c>
      <c r="B165" s="30" t="s">
        <v>157</v>
      </c>
      <c r="C165" s="31" t="s">
        <v>101</v>
      </c>
      <c r="D165" s="154">
        <f>D153</f>
        <v>3351.4217315288652</v>
      </c>
      <c r="E165" s="154">
        <v>4724.9530000000004</v>
      </c>
      <c r="F165" s="154"/>
    </row>
    <row r="166" spans="1:24" ht="15" x14ac:dyDescent="0.25">
      <c r="A166" s="152" t="s">
        <v>243</v>
      </c>
      <c r="B166" s="30" t="s">
        <v>167</v>
      </c>
      <c r="C166" s="31" t="s">
        <v>101</v>
      </c>
      <c r="D166" s="154">
        <f>D160</f>
        <v>1123.9610554361116</v>
      </c>
      <c r="E166" s="154">
        <v>1877.729</v>
      </c>
      <c r="F166" s="154"/>
    </row>
    <row r="167" spans="1:24" ht="15" x14ac:dyDescent="0.25">
      <c r="A167" s="155" t="s">
        <v>244</v>
      </c>
      <c r="B167" s="30" t="s">
        <v>157</v>
      </c>
      <c r="C167" s="31" t="s">
        <v>101</v>
      </c>
      <c r="D167" s="154">
        <f>D154</f>
        <v>556.91371570257331</v>
      </c>
      <c r="E167" s="154">
        <v>546.72250000000008</v>
      </c>
      <c r="F167" s="154"/>
    </row>
    <row r="168" spans="1:24" ht="15" x14ac:dyDescent="0.25">
      <c r="A168" s="155" t="s">
        <v>245</v>
      </c>
      <c r="B168" s="30" t="s">
        <v>157</v>
      </c>
      <c r="C168" s="31" t="s">
        <v>101</v>
      </c>
      <c r="D168" s="154">
        <v>21.6</v>
      </c>
      <c r="E168" s="154">
        <v>31.7</v>
      </c>
      <c r="F168" s="154"/>
    </row>
    <row r="169" spans="1:24" ht="15" x14ac:dyDescent="0.25">
      <c r="A169" s="152" t="s">
        <v>246</v>
      </c>
      <c r="B169" s="30" t="s">
        <v>157</v>
      </c>
      <c r="C169" s="31" t="s">
        <v>101</v>
      </c>
      <c r="D169" s="154">
        <f>D157</f>
        <v>45.985215572789905</v>
      </c>
      <c r="E169" s="154">
        <v>85.502538240000007</v>
      </c>
      <c r="F169" s="154"/>
    </row>
    <row r="170" spans="1:24" ht="15" x14ac:dyDescent="0.25">
      <c r="A170" s="155" t="s">
        <v>247</v>
      </c>
      <c r="B170" s="30" t="s">
        <v>248</v>
      </c>
      <c r="C170" s="31" t="s">
        <v>101</v>
      </c>
      <c r="D170" s="154">
        <f>D171*2.5+1.7*D172</f>
        <v>1860.9835119347074</v>
      </c>
      <c r="E170" s="154">
        <v>1802.483641</v>
      </c>
      <c r="F170" s="154"/>
    </row>
    <row r="171" spans="1:24" ht="15" x14ac:dyDescent="0.25">
      <c r="A171" s="156" t="s">
        <v>249</v>
      </c>
      <c r="B171" s="157" t="s">
        <v>167</v>
      </c>
      <c r="C171" s="31" t="s">
        <v>101</v>
      </c>
      <c r="D171" s="158">
        <f>D161</f>
        <v>471.91264477388302</v>
      </c>
      <c r="E171" s="158">
        <v>442.73899999999998</v>
      </c>
      <c r="F171" s="158"/>
    </row>
    <row r="172" spans="1:24" ht="15" x14ac:dyDescent="0.25">
      <c r="A172" s="156" t="s">
        <v>250</v>
      </c>
      <c r="B172" s="157" t="s">
        <v>157</v>
      </c>
      <c r="C172" s="31" t="s">
        <v>101</v>
      </c>
      <c r="D172" s="158">
        <f>D155</f>
        <v>400.70699999999988</v>
      </c>
      <c r="E172" s="158">
        <v>409.19773000000015</v>
      </c>
      <c r="F172" s="158"/>
    </row>
    <row r="173" spans="1:24" ht="15" x14ac:dyDescent="0.25">
      <c r="A173" s="152" t="s">
        <v>251</v>
      </c>
      <c r="B173" s="30" t="s">
        <v>167</v>
      </c>
      <c r="C173" s="31" t="s">
        <v>101</v>
      </c>
      <c r="D173" s="154">
        <f>D162</f>
        <v>118.33522714499999</v>
      </c>
      <c r="E173" s="154">
        <v>145.27061440000003</v>
      </c>
      <c r="F173" s="154"/>
    </row>
    <row r="174" spans="1:24" ht="15" x14ac:dyDescent="0.25">
      <c r="A174" s="159"/>
      <c r="B174" s="159"/>
      <c r="D174" s="159"/>
      <c r="E174" s="159"/>
    </row>
    <row r="175" spans="1:24" ht="15" x14ac:dyDescent="0.25">
      <c r="A175" s="152"/>
      <c r="B175" s="152"/>
      <c r="C175" s="30"/>
      <c r="D175" s="152">
        <v>1990</v>
      </c>
      <c r="E175" s="152">
        <v>2008</v>
      </c>
    </row>
    <row r="176" spans="1:24" s="30" customFormat="1" ht="12" x14ac:dyDescent="0.2">
      <c r="A176" s="160" t="s">
        <v>252</v>
      </c>
      <c r="B176" s="44" t="s">
        <v>253</v>
      </c>
      <c r="C176" s="30" t="s">
        <v>101</v>
      </c>
      <c r="D176" s="161">
        <f>'EEA data'!D18/1000</f>
        <v>767.04423342480607</v>
      </c>
      <c r="E176" s="154">
        <f>'EEA data'!V18/1000</f>
        <v>950.72839363954495</v>
      </c>
      <c r="F176" s="104"/>
      <c r="G176" s="30" t="s">
        <v>215</v>
      </c>
    </row>
    <row r="177" spans="1:7" s="30" customFormat="1" ht="12" x14ac:dyDescent="0.2">
      <c r="A177" s="155" t="s">
        <v>103</v>
      </c>
      <c r="B177" s="44" t="s">
        <v>253</v>
      </c>
      <c r="C177" s="30" t="s">
        <v>101</v>
      </c>
      <c r="D177" s="154">
        <f>B139</f>
        <v>432.32439139195918</v>
      </c>
      <c r="E177" s="154">
        <f t="shared" ref="D177:E180" si="65">C139</f>
        <v>509.76862381817102</v>
      </c>
      <c r="G177" s="30" t="s">
        <v>254</v>
      </c>
    </row>
    <row r="178" spans="1:7" s="30" customFormat="1" ht="12" x14ac:dyDescent="0.2">
      <c r="A178" s="155" t="s">
        <v>105</v>
      </c>
      <c r="B178" s="44" t="s">
        <v>253</v>
      </c>
      <c r="C178" s="30" t="s">
        <v>101</v>
      </c>
      <c r="D178" s="154">
        <f t="shared" si="65"/>
        <v>243.55115765456131</v>
      </c>
      <c r="E178" s="154">
        <f t="shared" si="65"/>
        <v>349.14822815440357</v>
      </c>
      <c r="G178" s="30" t="s">
        <v>254</v>
      </c>
    </row>
    <row r="179" spans="1:7" s="30" customFormat="1" ht="12" x14ac:dyDescent="0.2">
      <c r="A179" s="155" t="s">
        <v>244</v>
      </c>
      <c r="B179" s="44" t="s">
        <v>253</v>
      </c>
      <c r="C179" s="30" t="s">
        <v>101</v>
      </c>
      <c r="D179" s="154">
        <f t="shared" si="65"/>
        <v>22.501328654647406</v>
      </c>
      <c r="E179" s="154">
        <f t="shared" si="65"/>
        <v>20.150877630205848</v>
      </c>
      <c r="G179" s="30" t="s">
        <v>254</v>
      </c>
    </row>
    <row r="180" spans="1:7" s="30" customFormat="1" ht="12" x14ac:dyDescent="0.2">
      <c r="A180" s="155" t="s">
        <v>245</v>
      </c>
      <c r="B180" s="44" t="s">
        <v>253</v>
      </c>
      <c r="C180" s="30" t="s">
        <v>101</v>
      </c>
      <c r="D180" s="154">
        <f t="shared" si="65"/>
        <v>6.4191429734860392</v>
      </c>
      <c r="E180" s="154">
        <f t="shared" si="65"/>
        <v>10.684622651014745</v>
      </c>
      <c r="G180" s="30" t="s">
        <v>254</v>
      </c>
    </row>
    <row r="181" spans="1:7" s="30" customFormat="1" ht="12" x14ac:dyDescent="0.2">
      <c r="A181" s="155" t="s">
        <v>255</v>
      </c>
      <c r="B181" s="44" t="s">
        <v>253</v>
      </c>
      <c r="C181" s="30" t="s">
        <v>101</v>
      </c>
      <c r="D181" s="154">
        <f>'EEA data'!D19/1000</f>
        <v>17.2469339194204</v>
      </c>
      <c r="E181" s="154">
        <f>'EEA data'!V19/1000</f>
        <v>21.7831471447933</v>
      </c>
      <c r="G181" s="30" t="s">
        <v>215</v>
      </c>
    </row>
    <row r="182" spans="1:7" s="30" customFormat="1" ht="12" x14ac:dyDescent="0.2">
      <c r="A182" s="155" t="s">
        <v>109</v>
      </c>
      <c r="B182" s="44" t="s">
        <v>253</v>
      </c>
      <c r="C182" s="30" t="s">
        <v>101</v>
      </c>
      <c r="D182" s="154">
        <f>'EEA data'!D21/1000</f>
        <v>14.1133219190123</v>
      </c>
      <c r="E182" s="154">
        <f>'EEA data'!V21/1000</f>
        <v>7.7671101265265294</v>
      </c>
      <c r="G182" s="30" t="s">
        <v>215</v>
      </c>
    </row>
    <row r="183" spans="1:7" s="30" customFormat="1" ht="12" x14ac:dyDescent="0.2">
      <c r="A183" s="155" t="s">
        <v>256</v>
      </c>
      <c r="B183" s="44" t="s">
        <v>253</v>
      </c>
      <c r="C183" s="30" t="s">
        <v>101</v>
      </c>
      <c r="D183" s="154">
        <f>'EEA data'!D22/1000</f>
        <v>20.055408611689998</v>
      </c>
      <c r="E183" s="154">
        <f>'EEA data'!V22/1000</f>
        <v>21.815848091475999</v>
      </c>
      <c r="G183" s="30" t="s">
        <v>215</v>
      </c>
    </row>
    <row r="184" spans="1:7" s="30" customFormat="1" ht="12" x14ac:dyDescent="0.2">
      <c r="A184" s="152" t="s">
        <v>257</v>
      </c>
      <c r="B184" s="44" t="s">
        <v>253</v>
      </c>
      <c r="C184" s="30" t="s">
        <v>101</v>
      </c>
      <c r="D184" s="154">
        <f>'EEA data'!D23/1000</f>
        <v>10.832548300029201</v>
      </c>
      <c r="E184" s="154">
        <f>'EEA data'!V23/1000</f>
        <v>9.6099360229546402</v>
      </c>
      <c r="G184" s="30" t="s">
        <v>215</v>
      </c>
    </row>
    <row r="185" spans="1:7" ht="15" x14ac:dyDescent="0.25">
      <c r="A185" s="152"/>
      <c r="B185" s="44"/>
      <c r="D185" s="154"/>
      <c r="E185" s="154"/>
    </row>
    <row r="186" spans="1:7" ht="15" x14ac:dyDescent="0.25">
      <c r="A186" s="162" t="s">
        <v>258</v>
      </c>
      <c r="D186" s="49">
        <v>1990</v>
      </c>
      <c r="E186" s="49">
        <v>2008</v>
      </c>
    </row>
    <row r="187" spans="1:7" ht="15" x14ac:dyDescent="0.25">
      <c r="A187" s="155" t="s">
        <v>103</v>
      </c>
      <c r="B187" s="44" t="s">
        <v>259</v>
      </c>
      <c r="C187" s="31" t="s">
        <v>101</v>
      </c>
      <c r="D187" s="154">
        <f>D177/D165*1000</f>
        <v>128.99731099933513</v>
      </c>
      <c r="E187" s="154">
        <f>E177/E165*1000</f>
        <v>107.88861261015103</v>
      </c>
    </row>
    <row r="188" spans="1:7" ht="15" x14ac:dyDescent="0.25">
      <c r="A188" s="152" t="s">
        <v>105</v>
      </c>
      <c r="B188" s="44" t="s">
        <v>260</v>
      </c>
      <c r="C188" s="31" t="s">
        <v>101</v>
      </c>
      <c r="D188" s="154">
        <f t="shared" ref="D188:E193" si="66">D178/D166*1000</f>
        <v>216.69003252079784</v>
      </c>
      <c r="E188" s="154">
        <f t="shared" si="66"/>
        <v>185.94175632074891</v>
      </c>
    </row>
    <row r="189" spans="1:7" ht="15" x14ac:dyDescent="0.25">
      <c r="A189" s="155" t="s">
        <v>244</v>
      </c>
      <c r="B189" s="44" t="s">
        <v>259</v>
      </c>
      <c r="C189" s="31" t="s">
        <v>101</v>
      </c>
      <c r="D189" s="154">
        <f t="shared" si="66"/>
        <v>40.403617329231871</v>
      </c>
      <c r="E189" s="154">
        <f t="shared" si="66"/>
        <v>36.85759709945328</v>
      </c>
    </row>
    <row r="190" spans="1:7" ht="15" x14ac:dyDescent="0.25">
      <c r="A190" s="155" t="s">
        <v>245</v>
      </c>
      <c r="B190" s="44" t="s">
        <v>259</v>
      </c>
      <c r="C190" s="31" t="s">
        <v>101</v>
      </c>
      <c r="D190" s="154">
        <f t="shared" si="66"/>
        <v>297.18254506879811</v>
      </c>
      <c r="E190" s="154">
        <f t="shared" si="66"/>
        <v>337.05434230330428</v>
      </c>
    </row>
    <row r="191" spans="1:7" ht="15" x14ac:dyDescent="0.25">
      <c r="A191" s="152" t="s">
        <v>261</v>
      </c>
      <c r="B191" s="44" t="s">
        <v>259</v>
      </c>
      <c r="C191" s="31" t="s">
        <v>101</v>
      </c>
      <c r="D191" s="154">
        <f t="shared" si="66"/>
        <v>375.05388861601102</v>
      </c>
      <c r="E191" s="154">
        <f t="shared" si="66"/>
        <v>254.76608757098458</v>
      </c>
    </row>
    <row r="192" spans="1:7" ht="15" x14ac:dyDescent="0.25">
      <c r="A192" s="155" t="s">
        <v>109</v>
      </c>
      <c r="B192" s="44" t="s">
        <v>262</v>
      </c>
      <c r="C192" s="31" t="s">
        <v>101</v>
      </c>
      <c r="D192" s="154">
        <f t="shared" si="66"/>
        <v>7.5837973998704964</v>
      </c>
      <c r="E192" s="154">
        <f t="shared" si="66"/>
        <v>4.3091154614959022</v>
      </c>
    </row>
    <row r="193" spans="1:6" ht="15" x14ac:dyDescent="0.25">
      <c r="A193" s="155" t="s">
        <v>256</v>
      </c>
      <c r="B193" s="44" t="s">
        <v>260</v>
      </c>
      <c r="C193" s="31" t="s">
        <v>101</v>
      </c>
      <c r="D193" s="154">
        <f t="shared" si="66"/>
        <v>42.498137809593025</v>
      </c>
      <c r="E193" s="154">
        <f t="shared" si="66"/>
        <v>49.274737693033593</v>
      </c>
    </row>
    <row r="194" spans="1:6" ht="15" x14ac:dyDescent="0.25">
      <c r="B194" s="30"/>
    </row>
    <row r="195" spans="1:6" ht="15" x14ac:dyDescent="0.25">
      <c r="A195" s="162" t="s">
        <v>263</v>
      </c>
    </row>
    <row r="196" spans="1:6" ht="15" x14ac:dyDescent="0.25">
      <c r="A196" s="155" t="s">
        <v>103</v>
      </c>
      <c r="B196" s="44" t="s">
        <v>253</v>
      </c>
      <c r="C196" s="31" t="s">
        <v>101</v>
      </c>
      <c r="D196" s="31">
        <v>0</v>
      </c>
      <c r="E196" s="143">
        <f>(E187-D187)*E165/1000</f>
        <v>-99.737607780070576</v>
      </c>
      <c r="F196" s="62">
        <f t="shared" ref="F196:F202" si="67">E196/$E$203</f>
        <v>0.58211536109337858</v>
      </c>
    </row>
    <row r="197" spans="1:6" ht="15" x14ac:dyDescent="0.25">
      <c r="A197" s="155" t="s">
        <v>105</v>
      </c>
      <c r="B197" s="44" t="s">
        <v>253</v>
      </c>
      <c r="C197" s="31" t="s">
        <v>101</v>
      </c>
      <c r="D197" s="31">
        <v>0</v>
      </c>
      <c r="E197" s="143">
        <f t="shared" ref="E197:E202" si="68">(E188-D188)*E166/1000</f>
        <v>-57.736929920841682</v>
      </c>
      <c r="F197" s="62">
        <f t="shared" si="67"/>
        <v>0.33697974673109876</v>
      </c>
    </row>
    <row r="198" spans="1:6" ht="15" x14ac:dyDescent="0.25">
      <c r="A198" s="155" t="s">
        <v>244</v>
      </c>
      <c r="B198" s="44" t="s">
        <v>253</v>
      </c>
      <c r="C198" s="31" t="s">
        <v>101</v>
      </c>
      <c r="D198" s="31">
        <v>0</v>
      </c>
      <c r="E198" s="143">
        <f t="shared" si="68"/>
        <v>-1.9386890450751262</v>
      </c>
      <c r="F198" s="62">
        <f t="shared" si="67"/>
        <v>1.131509666855262E-2</v>
      </c>
    </row>
    <row r="199" spans="1:6" ht="15" x14ac:dyDescent="0.25">
      <c r="A199" s="155" t="s">
        <v>245</v>
      </c>
      <c r="B199" s="44" t="s">
        <v>253</v>
      </c>
      <c r="C199" s="31" t="s">
        <v>101</v>
      </c>
      <c r="D199" s="31">
        <v>0</v>
      </c>
      <c r="E199" s="143">
        <f t="shared" si="68"/>
        <v>1.2639359723338457</v>
      </c>
      <c r="F199" s="62">
        <f t="shared" si="67"/>
        <v>-7.3769219185247491E-3</v>
      </c>
    </row>
    <row r="200" spans="1:6" ht="15" x14ac:dyDescent="0.25">
      <c r="A200" s="155" t="s">
        <v>255</v>
      </c>
      <c r="B200" s="44" t="s">
        <v>253</v>
      </c>
      <c r="C200" s="31" t="s">
        <v>101</v>
      </c>
      <c r="D200" s="31">
        <v>0</v>
      </c>
      <c r="E200" s="143">
        <f t="shared" si="68"/>
        <v>-10.284912308657885</v>
      </c>
      <c r="F200" s="62">
        <f t="shared" si="67"/>
        <v>6.002756207638292E-2</v>
      </c>
    </row>
    <row r="201" spans="1:6" ht="15" x14ac:dyDescent="0.25">
      <c r="A201" s="155" t="s">
        <v>109</v>
      </c>
      <c r="B201" s="44" t="s">
        <v>253</v>
      </c>
      <c r="C201" s="31" t="s">
        <v>101</v>
      </c>
      <c r="D201" s="31">
        <v>0</v>
      </c>
      <c r="E201" s="143">
        <f t="shared" si="68"/>
        <v>-5.9025606233983758</v>
      </c>
      <c r="F201" s="62">
        <f t="shared" si="67"/>
        <v>3.4450106485827248E-2</v>
      </c>
    </row>
    <row r="202" spans="1:6" ht="15" x14ac:dyDescent="0.25">
      <c r="A202" s="155" t="s">
        <v>256</v>
      </c>
      <c r="B202" s="44" t="s">
        <v>253</v>
      </c>
      <c r="C202" s="31" t="s">
        <v>101</v>
      </c>
      <c r="D202" s="31">
        <v>0</v>
      </c>
      <c r="E202" s="143">
        <f t="shared" si="68"/>
        <v>3.0002650557945936</v>
      </c>
      <c r="F202" s="62">
        <f t="shared" si="67"/>
        <v>-1.7510951136715538E-2</v>
      </c>
    </row>
    <row r="203" spans="1:6" ht="15" x14ac:dyDescent="0.25">
      <c r="A203" s="163" t="s">
        <v>127</v>
      </c>
      <c r="B203" s="44" t="s">
        <v>253</v>
      </c>
      <c r="C203" s="31" t="s">
        <v>101</v>
      </c>
      <c r="E203" s="143">
        <f>SUM(E196:E202)</f>
        <v>-171.33649864991523</v>
      </c>
    </row>
    <row r="205" spans="1:6" ht="15" x14ac:dyDescent="0.25">
      <c r="E205" s="143"/>
    </row>
    <row r="206" spans="1:6" ht="15" x14ac:dyDescent="0.25">
      <c r="E206" s="143"/>
    </row>
    <row r="207" spans="1:6" ht="15" x14ac:dyDescent="0.25">
      <c r="E207" s="143"/>
    </row>
    <row r="208" spans="1:6" ht="15" x14ac:dyDescent="0.25">
      <c r="E208" s="143"/>
    </row>
    <row r="209" spans="5:5" ht="15" x14ac:dyDescent="0.25">
      <c r="E209" s="143"/>
    </row>
    <row r="210" spans="5:5" ht="15" x14ac:dyDescent="0.25">
      <c r="E210" s="143"/>
    </row>
    <row r="211" spans="5:5" ht="15" x14ac:dyDescent="0.25">
      <c r="E211" s="143"/>
    </row>
    <row r="212" spans="5:5" ht="15" x14ac:dyDescent="0.25">
      <c r="E212" s="164"/>
    </row>
    <row r="213" spans="5:5" ht="15" x14ac:dyDescent="0.25">
      <c r="E213" s="164"/>
    </row>
  </sheetData>
  <mergeCells count="2">
    <mergeCell ref="AA10:AA11"/>
    <mergeCell ref="AB10:AC1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39"/>
  <sheetViews>
    <sheetView topLeftCell="A16" workbookViewId="0">
      <pane ySplit="1200" activePane="bottomLeft"/>
      <selection activeCell="P20" sqref="P20"/>
      <selection pane="bottomLeft" activeCell="P20" sqref="P20"/>
    </sheetView>
  </sheetViews>
  <sheetFormatPr defaultColWidth="11.42578125" defaultRowHeight="15" x14ac:dyDescent="0.25"/>
  <cols>
    <col min="1" max="1" width="11.42578125" style="167" customWidth="1"/>
    <col min="2" max="2" width="14.28515625" style="167" customWidth="1"/>
    <col min="3" max="19" width="11.42578125" style="167" customWidth="1"/>
    <col min="20" max="20" width="13.5703125" style="167" customWidth="1"/>
    <col min="21" max="16384" width="11.42578125" style="167"/>
  </cols>
  <sheetData>
    <row r="1" spans="1:28" x14ac:dyDescent="0.25">
      <c r="A1" s="165" t="s">
        <v>264</v>
      </c>
      <c r="B1" s="166"/>
      <c r="C1" s="166"/>
      <c r="D1" s="166"/>
    </row>
    <row r="2" spans="1:28" x14ac:dyDescent="0.25">
      <c r="A2" s="168" t="s">
        <v>265</v>
      </c>
      <c r="B2" s="169" t="s">
        <v>266</v>
      </c>
      <c r="C2" s="169" t="s">
        <v>267</v>
      </c>
      <c r="D2" s="169" t="s">
        <v>268</v>
      </c>
      <c r="E2" s="169" t="s">
        <v>269</v>
      </c>
      <c r="F2" s="169" t="s">
        <v>270</v>
      </c>
      <c r="G2" s="169" t="s">
        <v>271</v>
      </c>
      <c r="H2" s="169" t="s">
        <v>272</v>
      </c>
      <c r="I2" s="169" t="s">
        <v>273</v>
      </c>
      <c r="J2" s="169" t="s">
        <v>274</v>
      </c>
      <c r="K2" s="169" t="s">
        <v>275</v>
      </c>
      <c r="L2" s="169" t="s">
        <v>276</v>
      </c>
      <c r="M2" s="169" t="s">
        <v>277</v>
      </c>
      <c r="N2" s="169" t="s">
        <v>278</v>
      </c>
      <c r="O2" s="169" t="s">
        <v>279</v>
      </c>
      <c r="P2" s="169" t="s">
        <v>280</v>
      </c>
      <c r="Q2" s="169" t="s">
        <v>281</v>
      </c>
      <c r="R2" s="169" t="s">
        <v>282</v>
      </c>
      <c r="S2" s="169" t="s">
        <v>283</v>
      </c>
      <c r="T2" s="170" t="s">
        <v>284</v>
      </c>
      <c r="V2" s="171" t="s">
        <v>285</v>
      </c>
      <c r="W2" s="172"/>
      <c r="X2" s="172"/>
      <c r="Z2" s="173"/>
      <c r="AA2" s="173"/>
      <c r="AB2" s="173"/>
    </row>
    <row r="3" spans="1:28" x14ac:dyDescent="0.25">
      <c r="A3" s="174" t="s">
        <v>286</v>
      </c>
      <c r="B3" s="175">
        <v>281399</v>
      </c>
      <c r="C3" s="175">
        <v>282742</v>
      </c>
      <c r="D3" s="175">
        <v>291451</v>
      </c>
      <c r="E3" s="175">
        <v>296390</v>
      </c>
      <c r="F3" s="175">
        <v>297908</v>
      </c>
      <c r="G3" s="175">
        <v>301883</v>
      </c>
      <c r="H3" s="175">
        <v>313208</v>
      </c>
      <c r="I3" s="175">
        <v>319458</v>
      </c>
      <c r="J3" s="175">
        <v>330237</v>
      </c>
      <c r="K3" s="175">
        <v>338971</v>
      </c>
      <c r="L3" s="175">
        <v>341003</v>
      </c>
      <c r="M3" s="175">
        <v>344196</v>
      </c>
      <c r="N3" s="175">
        <v>347636</v>
      </c>
      <c r="O3" s="175">
        <v>352457</v>
      </c>
      <c r="P3" s="175">
        <v>362131</v>
      </c>
      <c r="Q3" s="175">
        <v>364711</v>
      </c>
      <c r="R3" s="175">
        <v>372191</v>
      </c>
      <c r="S3" s="175">
        <v>376826</v>
      </c>
      <c r="T3" s="176">
        <v>374269</v>
      </c>
      <c r="U3" s="177">
        <f>+T3-S3</f>
        <v>-2557</v>
      </c>
      <c r="V3" s="178">
        <f>(T3/B3)-1</f>
        <v>0.33002960209524557</v>
      </c>
      <c r="W3" s="179">
        <f>(T3/S3)-1</f>
        <v>-6.7856251957136848E-3</v>
      </c>
      <c r="X3" s="172"/>
      <c r="Z3" s="173"/>
      <c r="AA3" s="173"/>
      <c r="AB3" s="173"/>
    </row>
    <row r="4" spans="1:28" x14ac:dyDescent="0.25">
      <c r="A4" s="174" t="s">
        <v>287</v>
      </c>
      <c r="B4" s="176">
        <f t="shared" ref="B4:S4" si="0">B6+B9+B10+B12+B13+B14+B15+B16+B20+B23+B24+B26+B30+B31+B32</f>
        <v>254113</v>
      </c>
      <c r="C4" s="176">
        <f t="shared" si="0"/>
        <v>257863</v>
      </c>
      <c r="D4" s="176">
        <f t="shared" si="0"/>
        <v>266534</v>
      </c>
      <c r="E4" s="176">
        <f t="shared" si="0"/>
        <v>272365</v>
      </c>
      <c r="F4" s="176">
        <f t="shared" si="0"/>
        <v>273330</v>
      </c>
      <c r="G4" s="176">
        <f t="shared" si="0"/>
        <v>277123</v>
      </c>
      <c r="H4" s="176">
        <f t="shared" si="0"/>
        <v>285615</v>
      </c>
      <c r="I4" s="176">
        <f t="shared" si="0"/>
        <v>290768</v>
      </c>
      <c r="J4" s="176">
        <f t="shared" si="0"/>
        <v>301481</v>
      </c>
      <c r="K4" s="176">
        <f t="shared" si="0"/>
        <v>309548</v>
      </c>
      <c r="L4" s="176">
        <f t="shared" si="0"/>
        <v>312809</v>
      </c>
      <c r="M4" s="176">
        <f t="shared" si="0"/>
        <v>314297</v>
      </c>
      <c r="N4" s="176">
        <f t="shared" si="0"/>
        <v>316875</v>
      </c>
      <c r="O4" s="176">
        <f t="shared" si="0"/>
        <v>319400</v>
      </c>
      <c r="P4" s="176">
        <f t="shared" si="0"/>
        <v>326403</v>
      </c>
      <c r="Q4" s="176">
        <f t="shared" si="0"/>
        <v>327753</v>
      </c>
      <c r="R4" s="176">
        <f t="shared" si="0"/>
        <v>332617</v>
      </c>
      <c r="S4" s="176">
        <f t="shared" si="0"/>
        <v>334457</v>
      </c>
      <c r="T4" s="176">
        <f>T6+T9+T10+T12+T13+T14+T15+T16+T20+T23+T24+T26+T30+T31+T32</f>
        <v>329718</v>
      </c>
      <c r="V4" s="178"/>
      <c r="W4" s="172"/>
      <c r="X4" s="172"/>
      <c r="Z4" s="173"/>
      <c r="AA4" s="173"/>
      <c r="AB4" s="173"/>
    </row>
    <row r="5" spans="1:28" x14ac:dyDescent="0.25">
      <c r="A5" s="180" t="s">
        <v>288</v>
      </c>
      <c r="B5" s="175"/>
      <c r="C5" s="175"/>
      <c r="D5" s="175"/>
      <c r="E5" s="175"/>
      <c r="F5" s="175"/>
      <c r="G5" s="175"/>
      <c r="H5" s="175"/>
      <c r="I5" s="175"/>
      <c r="J5" s="175"/>
      <c r="K5" s="175"/>
      <c r="L5" s="175"/>
      <c r="M5" s="175"/>
      <c r="N5" s="175"/>
      <c r="O5" s="175"/>
      <c r="P5" s="175"/>
      <c r="Q5" s="175"/>
      <c r="R5" s="175"/>
      <c r="S5" s="175"/>
      <c r="T5" s="176"/>
      <c r="V5" s="178"/>
      <c r="W5" s="172"/>
      <c r="X5" s="172"/>
      <c r="Z5" s="173"/>
      <c r="AA5" s="173"/>
      <c r="AB5" s="173"/>
    </row>
    <row r="6" spans="1:28" x14ac:dyDescent="0.25">
      <c r="A6" s="174" t="s">
        <v>289</v>
      </c>
      <c r="B6" s="175">
        <v>7730</v>
      </c>
      <c r="C6" s="175">
        <v>7865</v>
      </c>
      <c r="D6" s="175">
        <v>8311</v>
      </c>
      <c r="E6" s="175">
        <v>8381</v>
      </c>
      <c r="F6" s="175">
        <v>8514</v>
      </c>
      <c r="G6" s="175">
        <v>8511</v>
      </c>
      <c r="H6" s="175">
        <v>8929</v>
      </c>
      <c r="I6" s="175">
        <v>9229</v>
      </c>
      <c r="J6" s="175">
        <v>9608</v>
      </c>
      <c r="K6" s="175">
        <v>9633</v>
      </c>
      <c r="L6" s="175">
        <v>9710</v>
      </c>
      <c r="M6" s="175">
        <v>9492</v>
      </c>
      <c r="N6" s="175">
        <v>9654</v>
      </c>
      <c r="O6" s="175">
        <v>10177</v>
      </c>
      <c r="P6" s="175">
        <v>10247</v>
      </c>
      <c r="Q6" s="175">
        <v>9926</v>
      </c>
      <c r="R6" s="175">
        <v>9613</v>
      </c>
      <c r="S6" s="175">
        <v>9589</v>
      </c>
      <c r="T6" s="176">
        <v>11227</v>
      </c>
      <c r="V6" s="178">
        <f t="shared" ref="V6:V38" si="1">(T6/B6)-1</f>
        <v>0.45239327296248377</v>
      </c>
      <c r="W6" s="172"/>
      <c r="X6" s="172"/>
      <c r="Z6" s="173"/>
      <c r="AA6" s="173"/>
      <c r="AB6" s="173"/>
    </row>
    <row r="7" spans="1:28" x14ac:dyDescent="0.25">
      <c r="A7" s="174" t="s">
        <v>290</v>
      </c>
      <c r="B7" s="175">
        <v>2523</v>
      </c>
      <c r="C7" s="175">
        <v>1505</v>
      </c>
      <c r="D7" s="175">
        <v>1907</v>
      </c>
      <c r="E7" s="175">
        <v>2273</v>
      </c>
      <c r="F7" s="175">
        <v>1960</v>
      </c>
      <c r="G7" s="175">
        <v>1980</v>
      </c>
      <c r="H7" s="175">
        <v>1832</v>
      </c>
      <c r="I7" s="175">
        <v>1671</v>
      </c>
      <c r="J7" s="175">
        <v>1917</v>
      </c>
      <c r="K7" s="175">
        <v>1948</v>
      </c>
      <c r="L7" s="175">
        <v>1823</v>
      </c>
      <c r="M7" s="175">
        <v>1924</v>
      </c>
      <c r="N7" s="175">
        <v>2026</v>
      </c>
      <c r="O7" s="175">
        <v>2291</v>
      </c>
      <c r="P7" s="175">
        <v>2374</v>
      </c>
      <c r="Q7" s="175">
        <v>2570</v>
      </c>
      <c r="R7" s="175">
        <v>2772</v>
      </c>
      <c r="S7" s="175">
        <v>2690</v>
      </c>
      <c r="T7" s="176">
        <v>2841</v>
      </c>
      <c r="V7" s="178">
        <f t="shared" si="1"/>
        <v>0.12604042806183124</v>
      </c>
      <c r="W7" s="172"/>
      <c r="X7" s="172"/>
      <c r="Z7" s="173"/>
      <c r="AA7" s="173"/>
      <c r="AB7" s="173"/>
    </row>
    <row r="8" spans="1:28" x14ac:dyDescent="0.25">
      <c r="A8" s="174" t="s">
        <v>291</v>
      </c>
      <c r="B8" s="175">
        <v>2812</v>
      </c>
      <c r="C8" s="175">
        <v>2423</v>
      </c>
      <c r="D8" s="175">
        <v>3001</v>
      </c>
      <c r="E8" s="175">
        <v>2989</v>
      </c>
      <c r="F8" s="175">
        <v>3256</v>
      </c>
      <c r="G8" s="175">
        <v>2856</v>
      </c>
      <c r="H8" s="175">
        <v>3734</v>
      </c>
      <c r="I8" s="175">
        <v>3843</v>
      </c>
      <c r="J8" s="175">
        <v>3926</v>
      </c>
      <c r="K8" s="175">
        <v>4287</v>
      </c>
      <c r="L8" s="175">
        <v>4377</v>
      </c>
      <c r="M8" s="175">
        <v>4628</v>
      </c>
      <c r="N8" s="175">
        <v>4837</v>
      </c>
      <c r="O8" s="175">
        <v>5481</v>
      </c>
      <c r="P8" s="175">
        <v>5796</v>
      </c>
      <c r="Q8" s="175">
        <v>6172</v>
      </c>
      <c r="R8" s="175">
        <v>6301</v>
      </c>
      <c r="S8" s="175">
        <v>6627</v>
      </c>
      <c r="T8" s="176">
        <v>6463</v>
      </c>
      <c r="V8" s="178">
        <f t="shared" si="1"/>
        <v>1.2983641536273116</v>
      </c>
      <c r="W8" s="172"/>
      <c r="X8" s="172"/>
      <c r="Z8" s="173"/>
      <c r="AA8" s="173"/>
      <c r="AB8" s="173"/>
    </row>
    <row r="9" spans="1:28" x14ac:dyDescent="0.25">
      <c r="A9" s="174" t="s">
        <v>292</v>
      </c>
      <c r="B9" s="175">
        <v>4023</v>
      </c>
      <c r="C9" s="175">
        <v>4095</v>
      </c>
      <c r="D9" s="175">
        <v>4155</v>
      </c>
      <c r="E9" s="175">
        <v>4202</v>
      </c>
      <c r="F9" s="175">
        <v>4404</v>
      </c>
      <c r="G9" s="175">
        <v>4460</v>
      </c>
      <c r="H9" s="175">
        <v>4560</v>
      </c>
      <c r="I9" s="175">
        <v>4625</v>
      </c>
      <c r="J9" s="175">
        <v>4685</v>
      </c>
      <c r="K9" s="175">
        <v>4751</v>
      </c>
      <c r="L9" s="175">
        <v>4732</v>
      </c>
      <c r="M9" s="175">
        <v>4760</v>
      </c>
      <c r="N9" s="175">
        <v>4733</v>
      </c>
      <c r="O9" s="175">
        <v>4916</v>
      </c>
      <c r="P9" s="175">
        <v>5150</v>
      </c>
      <c r="Q9" s="175">
        <v>5261</v>
      </c>
      <c r="R9" s="175">
        <v>5329</v>
      </c>
      <c r="S9" s="175">
        <v>5555</v>
      </c>
      <c r="T9" s="176">
        <v>5490</v>
      </c>
      <c r="V9" s="178">
        <f t="shared" si="1"/>
        <v>0.36465324384787468</v>
      </c>
      <c r="W9" s="172"/>
      <c r="X9" s="172"/>
      <c r="Z9" s="173"/>
      <c r="AA9" s="173"/>
      <c r="AB9" s="173"/>
    </row>
    <row r="10" spans="1:28" x14ac:dyDescent="0.25">
      <c r="A10" s="174" t="s">
        <v>293</v>
      </c>
      <c r="B10" s="175">
        <v>58631</v>
      </c>
      <c r="C10" s="175">
        <v>59200</v>
      </c>
      <c r="D10" s="175">
        <v>61334</v>
      </c>
      <c r="E10" s="175">
        <v>62847</v>
      </c>
      <c r="F10" s="175">
        <v>62145</v>
      </c>
      <c r="G10" s="175">
        <v>63078</v>
      </c>
      <c r="H10" s="175">
        <v>62783</v>
      </c>
      <c r="I10" s="175">
        <v>63944</v>
      </c>
      <c r="J10" s="175">
        <v>65046</v>
      </c>
      <c r="K10" s="175">
        <v>67103</v>
      </c>
      <c r="L10" s="175">
        <v>66188</v>
      </c>
      <c r="M10" s="175">
        <v>64804</v>
      </c>
      <c r="N10" s="175">
        <v>64371</v>
      </c>
      <c r="O10" s="175">
        <v>62596</v>
      </c>
      <c r="P10" s="175">
        <v>63219</v>
      </c>
      <c r="Q10" s="175">
        <v>62149</v>
      </c>
      <c r="R10" s="175">
        <v>63311</v>
      </c>
      <c r="S10" s="175">
        <v>62218</v>
      </c>
      <c r="T10" s="176">
        <v>61434</v>
      </c>
      <c r="V10" s="178">
        <f t="shared" si="1"/>
        <v>4.7807473861950056E-2</v>
      </c>
      <c r="W10" s="172"/>
      <c r="X10" s="172"/>
      <c r="Z10" s="173"/>
      <c r="AA10" s="173"/>
      <c r="AB10" s="173"/>
    </row>
    <row r="11" spans="1:28" x14ac:dyDescent="0.25">
      <c r="A11" s="174" t="s">
        <v>294</v>
      </c>
      <c r="B11" s="175">
        <v>841</v>
      </c>
      <c r="C11" s="175">
        <v>773</v>
      </c>
      <c r="D11" s="175">
        <v>400</v>
      </c>
      <c r="E11" s="175">
        <v>419</v>
      </c>
      <c r="F11" s="175">
        <v>492</v>
      </c>
      <c r="G11" s="175">
        <v>492</v>
      </c>
      <c r="H11" s="175">
        <v>532</v>
      </c>
      <c r="I11" s="175">
        <v>556</v>
      </c>
      <c r="J11" s="175">
        <v>577</v>
      </c>
      <c r="K11" s="175">
        <v>581</v>
      </c>
      <c r="L11" s="175">
        <v>579</v>
      </c>
      <c r="M11" s="175">
        <v>653</v>
      </c>
      <c r="N11" s="175">
        <v>672</v>
      </c>
      <c r="O11" s="175">
        <v>652</v>
      </c>
      <c r="P11" s="175">
        <v>710</v>
      </c>
      <c r="Q11" s="175">
        <v>762</v>
      </c>
      <c r="R11" s="175">
        <v>799</v>
      </c>
      <c r="S11" s="175">
        <v>850</v>
      </c>
      <c r="T11" s="176">
        <v>796</v>
      </c>
      <c r="V11" s="178">
        <f t="shared" si="1"/>
        <v>-5.3507728894173656E-2</v>
      </c>
      <c r="W11" s="172"/>
      <c r="X11" s="172"/>
      <c r="Z11" s="173"/>
      <c r="AA11" s="173"/>
      <c r="AB11" s="173"/>
    </row>
    <row r="12" spans="1:28" x14ac:dyDescent="0.25">
      <c r="A12" s="174" t="s">
        <v>295</v>
      </c>
      <c r="B12" s="175">
        <v>1989</v>
      </c>
      <c r="C12" s="175">
        <v>2041</v>
      </c>
      <c r="D12" s="175">
        <v>2144</v>
      </c>
      <c r="E12" s="175">
        <v>2276</v>
      </c>
      <c r="F12" s="175">
        <v>2308</v>
      </c>
      <c r="G12" s="175">
        <v>2349</v>
      </c>
      <c r="H12" s="175">
        <v>2651</v>
      </c>
      <c r="I12" s="175">
        <v>2846</v>
      </c>
      <c r="J12" s="175">
        <v>3305</v>
      </c>
      <c r="K12" s="175">
        <v>3690</v>
      </c>
      <c r="L12" s="175">
        <v>4018</v>
      </c>
      <c r="M12" s="175">
        <v>4288</v>
      </c>
      <c r="N12" s="175">
        <v>4398</v>
      </c>
      <c r="O12" s="175">
        <v>4440</v>
      </c>
      <c r="P12" s="175">
        <v>4614</v>
      </c>
      <c r="Q12" s="175">
        <v>4997</v>
      </c>
      <c r="R12" s="175">
        <v>5373</v>
      </c>
      <c r="S12" s="175">
        <v>4725</v>
      </c>
      <c r="T12" s="176">
        <v>5433</v>
      </c>
      <c r="V12" s="178">
        <f t="shared" si="1"/>
        <v>1.7315233785822022</v>
      </c>
      <c r="W12" s="172"/>
      <c r="X12" s="172"/>
      <c r="Z12" s="173"/>
      <c r="AA12" s="173"/>
      <c r="AB12" s="173"/>
    </row>
    <row r="13" spans="1:28" x14ac:dyDescent="0.25">
      <c r="A13" s="174" t="s">
        <v>296</v>
      </c>
      <c r="B13" s="175">
        <v>5821</v>
      </c>
      <c r="C13" s="175">
        <v>5991</v>
      </c>
      <c r="D13" s="175">
        <v>6163</v>
      </c>
      <c r="E13" s="175">
        <v>6466</v>
      </c>
      <c r="F13" s="175">
        <v>6457</v>
      </c>
      <c r="G13" s="175">
        <v>6445</v>
      </c>
      <c r="H13" s="175">
        <v>6575</v>
      </c>
      <c r="I13" s="175">
        <v>6740</v>
      </c>
      <c r="J13" s="175">
        <v>7308</v>
      </c>
      <c r="K13" s="175">
        <v>7469</v>
      </c>
      <c r="L13" s="175">
        <v>7212</v>
      </c>
      <c r="M13" s="175">
        <v>7379</v>
      </c>
      <c r="N13" s="175">
        <v>7476</v>
      </c>
      <c r="O13" s="175">
        <v>7818</v>
      </c>
      <c r="P13" s="175">
        <v>7977</v>
      </c>
      <c r="Q13" s="175">
        <v>8085</v>
      </c>
      <c r="R13" s="175">
        <v>8450</v>
      </c>
      <c r="S13" s="175">
        <v>8714</v>
      </c>
      <c r="T13" s="176">
        <v>8510</v>
      </c>
      <c r="V13" s="178">
        <f t="shared" si="1"/>
        <v>0.46194811887991749</v>
      </c>
      <c r="W13" s="172"/>
      <c r="X13" s="172"/>
      <c r="Z13" s="173"/>
      <c r="AA13" s="173"/>
      <c r="AB13" s="173"/>
    </row>
    <row r="14" spans="1:28" x14ac:dyDescent="0.25">
      <c r="A14" s="174" t="s">
        <v>297</v>
      </c>
      <c r="B14" s="175">
        <v>22401</v>
      </c>
      <c r="C14" s="175">
        <v>24248</v>
      </c>
      <c r="D14" s="175">
        <v>24947</v>
      </c>
      <c r="E14" s="175">
        <v>24651</v>
      </c>
      <c r="F14" s="175">
        <v>25771</v>
      </c>
      <c r="G14" s="175">
        <v>26162</v>
      </c>
      <c r="H14" s="175">
        <v>27849</v>
      </c>
      <c r="I14" s="175">
        <v>28112</v>
      </c>
      <c r="J14" s="175">
        <v>30575</v>
      </c>
      <c r="K14" s="175">
        <v>32016</v>
      </c>
      <c r="L14" s="175">
        <v>32895</v>
      </c>
      <c r="M14" s="175">
        <v>34290</v>
      </c>
      <c r="N14" s="175">
        <v>34787</v>
      </c>
      <c r="O14" s="175">
        <v>36589</v>
      </c>
      <c r="P14" s="175">
        <v>38304</v>
      </c>
      <c r="Q14" s="175">
        <v>39609</v>
      </c>
      <c r="R14" s="175">
        <v>40763</v>
      </c>
      <c r="S14" s="175">
        <v>42004</v>
      </c>
      <c r="T14" s="176">
        <v>40194</v>
      </c>
      <c r="V14" s="178">
        <f t="shared" si="1"/>
        <v>0.79429489754921656</v>
      </c>
      <c r="W14" s="172"/>
      <c r="X14" s="172"/>
      <c r="Z14" s="173"/>
      <c r="AA14" s="173"/>
      <c r="AB14" s="173"/>
    </row>
    <row r="15" spans="1:28" x14ac:dyDescent="0.25">
      <c r="A15" s="174" t="s">
        <v>298</v>
      </c>
      <c r="B15" s="175">
        <v>42037</v>
      </c>
      <c r="C15" s="175">
        <v>41696</v>
      </c>
      <c r="D15" s="175">
        <v>42723</v>
      </c>
      <c r="E15" s="175">
        <v>44712</v>
      </c>
      <c r="F15" s="175">
        <v>43758</v>
      </c>
      <c r="G15" s="175">
        <v>44292</v>
      </c>
      <c r="H15" s="175">
        <v>46262</v>
      </c>
      <c r="I15" s="175">
        <v>47297</v>
      </c>
      <c r="J15" s="175">
        <v>49731</v>
      </c>
      <c r="K15" s="175">
        <v>49914</v>
      </c>
      <c r="L15" s="175">
        <v>51586</v>
      </c>
      <c r="M15" s="175">
        <v>51898</v>
      </c>
      <c r="N15" s="175">
        <v>51427</v>
      </c>
      <c r="O15" s="175">
        <v>50524</v>
      </c>
      <c r="P15" s="175">
        <v>50918</v>
      </c>
      <c r="Q15" s="175">
        <v>50444</v>
      </c>
      <c r="R15" s="175">
        <v>50861</v>
      </c>
      <c r="S15" s="175">
        <v>51494</v>
      </c>
      <c r="T15" s="176">
        <v>50470</v>
      </c>
      <c r="V15" s="178">
        <f t="shared" si="1"/>
        <v>0.20060898732069377</v>
      </c>
      <c r="W15" s="172"/>
      <c r="X15" s="172"/>
      <c r="Z15" s="173"/>
      <c r="AA15" s="173"/>
      <c r="AB15" s="173"/>
    </row>
    <row r="16" spans="1:28" x14ac:dyDescent="0.25">
      <c r="A16" s="174" t="s">
        <v>299</v>
      </c>
      <c r="B16" s="175">
        <v>34179</v>
      </c>
      <c r="C16" s="175">
        <v>35089</v>
      </c>
      <c r="D16" s="175">
        <v>36810</v>
      </c>
      <c r="E16" s="175">
        <v>37529</v>
      </c>
      <c r="F16" s="175">
        <v>37565</v>
      </c>
      <c r="G16" s="175">
        <v>38528</v>
      </c>
      <c r="H16" s="175">
        <v>39304</v>
      </c>
      <c r="I16" s="175">
        <v>39915</v>
      </c>
      <c r="J16" s="175">
        <v>41159</v>
      </c>
      <c r="K16" s="175">
        <v>42265</v>
      </c>
      <c r="L16" s="175">
        <v>42454</v>
      </c>
      <c r="M16" s="175">
        <v>42880</v>
      </c>
      <c r="N16" s="175">
        <v>43599</v>
      </c>
      <c r="O16" s="175">
        <v>44247</v>
      </c>
      <c r="P16" s="175">
        <v>45111</v>
      </c>
      <c r="Q16" s="175">
        <v>44758</v>
      </c>
      <c r="R16" s="175">
        <v>45336</v>
      </c>
      <c r="S16" s="175">
        <v>45659</v>
      </c>
      <c r="T16" s="176">
        <v>43867</v>
      </c>
      <c r="V16" s="178">
        <f t="shared" si="1"/>
        <v>0.2834489013721877</v>
      </c>
      <c r="W16" s="172"/>
      <c r="X16" s="172"/>
      <c r="Z16" s="173"/>
      <c r="AA16" s="173"/>
      <c r="AB16" s="173"/>
    </row>
    <row r="17" spans="1:28" x14ac:dyDescent="0.25">
      <c r="A17" s="174" t="s">
        <v>300</v>
      </c>
      <c r="B17" s="175">
        <v>627</v>
      </c>
      <c r="C17" s="175">
        <v>572</v>
      </c>
      <c r="D17" s="175">
        <v>685</v>
      </c>
      <c r="E17" s="175">
        <v>681</v>
      </c>
      <c r="F17" s="175">
        <v>698</v>
      </c>
      <c r="G17" s="175">
        <v>749</v>
      </c>
      <c r="H17" s="175">
        <v>754</v>
      </c>
      <c r="I17" s="175">
        <v>772</v>
      </c>
      <c r="J17" s="175">
        <v>810</v>
      </c>
      <c r="K17" s="175">
        <v>830</v>
      </c>
      <c r="L17" s="175">
        <v>852</v>
      </c>
      <c r="M17" s="175">
        <v>927</v>
      </c>
      <c r="N17" s="175">
        <v>897</v>
      </c>
      <c r="O17" s="175">
        <v>953</v>
      </c>
      <c r="P17" s="175">
        <v>858</v>
      </c>
      <c r="Q17" s="175">
        <v>969</v>
      </c>
      <c r="R17" s="175">
        <v>926</v>
      </c>
      <c r="S17" s="175">
        <v>952</v>
      </c>
      <c r="T17" s="176">
        <v>973</v>
      </c>
      <c r="V17" s="178">
        <f t="shared" si="1"/>
        <v>0.55183413078149912</v>
      </c>
      <c r="W17" s="172"/>
      <c r="X17" s="172"/>
      <c r="Z17" s="173"/>
      <c r="AA17" s="173"/>
      <c r="AB17" s="173"/>
    </row>
    <row r="18" spans="1:28" x14ac:dyDescent="0.25">
      <c r="A18" s="174" t="s">
        <v>301</v>
      </c>
      <c r="B18" s="175">
        <v>1097</v>
      </c>
      <c r="C18" s="175">
        <v>1032</v>
      </c>
      <c r="D18" s="175">
        <v>857</v>
      </c>
      <c r="E18" s="175">
        <v>791</v>
      </c>
      <c r="F18" s="175">
        <v>749</v>
      </c>
      <c r="G18" s="175">
        <v>714</v>
      </c>
      <c r="H18" s="175">
        <v>709</v>
      </c>
      <c r="I18" s="175">
        <v>704</v>
      </c>
      <c r="J18" s="175">
        <v>691</v>
      </c>
      <c r="K18" s="175">
        <v>680</v>
      </c>
      <c r="L18" s="175">
        <v>747</v>
      </c>
      <c r="M18" s="175">
        <v>874</v>
      </c>
      <c r="N18" s="175">
        <v>899</v>
      </c>
      <c r="O18" s="175">
        <v>959</v>
      </c>
      <c r="P18" s="175">
        <v>1012</v>
      </c>
      <c r="Q18" s="175">
        <v>1066</v>
      </c>
      <c r="R18" s="175">
        <v>1178</v>
      </c>
      <c r="S18" s="175">
        <v>1333</v>
      </c>
      <c r="T18" s="176">
        <v>1280</v>
      </c>
      <c r="V18" s="178">
        <f t="shared" si="1"/>
        <v>0.1668185961713764</v>
      </c>
      <c r="W18" s="172"/>
      <c r="X18" s="172"/>
      <c r="Z18" s="173"/>
      <c r="AA18" s="173"/>
      <c r="AB18" s="173"/>
    </row>
    <row r="19" spans="1:28" x14ac:dyDescent="0.25">
      <c r="A19" s="174" t="s">
        <v>302</v>
      </c>
      <c r="B19" s="175">
        <v>1996</v>
      </c>
      <c r="C19" s="175">
        <v>2216</v>
      </c>
      <c r="D19" s="175">
        <v>1416</v>
      </c>
      <c r="E19" s="175">
        <v>1070</v>
      </c>
      <c r="F19" s="175">
        <v>852</v>
      </c>
      <c r="G19" s="175">
        <v>1040</v>
      </c>
      <c r="H19" s="175">
        <v>1131</v>
      </c>
      <c r="I19" s="175">
        <v>1256</v>
      </c>
      <c r="J19" s="175">
        <v>1314</v>
      </c>
      <c r="K19" s="175">
        <v>1174</v>
      </c>
      <c r="L19" s="175">
        <v>1051</v>
      </c>
      <c r="M19" s="175">
        <v>1143</v>
      </c>
      <c r="N19" s="175">
        <v>1181</v>
      </c>
      <c r="O19" s="175">
        <v>1206</v>
      </c>
      <c r="P19" s="175">
        <v>1325</v>
      </c>
      <c r="Q19" s="175">
        <v>1408</v>
      </c>
      <c r="R19" s="175">
        <v>1512</v>
      </c>
      <c r="S19" s="175">
        <v>1792</v>
      </c>
      <c r="T19" s="176">
        <v>1797</v>
      </c>
      <c r="V19" s="178">
        <f t="shared" si="1"/>
        <v>-9.9699398797595151E-2</v>
      </c>
      <c r="W19" s="172"/>
      <c r="X19" s="172"/>
      <c r="Z19" s="173"/>
      <c r="AA19" s="173"/>
      <c r="AB19" s="173"/>
    </row>
    <row r="20" spans="1:28" x14ac:dyDescent="0.25">
      <c r="A20" s="174" t="s">
        <v>303</v>
      </c>
      <c r="B20" s="175">
        <v>1010</v>
      </c>
      <c r="C20" s="175">
        <v>1189</v>
      </c>
      <c r="D20" s="175">
        <v>1281</v>
      </c>
      <c r="E20" s="175">
        <v>1292</v>
      </c>
      <c r="F20" s="175">
        <v>1345</v>
      </c>
      <c r="G20" s="175">
        <v>1311</v>
      </c>
      <c r="H20" s="175">
        <v>1358</v>
      </c>
      <c r="I20" s="175">
        <v>1471</v>
      </c>
      <c r="J20" s="175">
        <v>1558</v>
      </c>
      <c r="K20" s="175">
        <v>1707</v>
      </c>
      <c r="L20" s="175">
        <v>1884</v>
      </c>
      <c r="M20" s="175">
        <v>1993</v>
      </c>
      <c r="N20" s="175">
        <v>2134</v>
      </c>
      <c r="O20" s="175">
        <v>2339</v>
      </c>
      <c r="P20" s="175">
        <v>2590</v>
      </c>
      <c r="Q20" s="175">
        <v>2721</v>
      </c>
      <c r="R20" s="175">
        <v>2631</v>
      </c>
      <c r="S20" s="175">
        <v>2619</v>
      </c>
      <c r="T20" s="176">
        <v>2615</v>
      </c>
      <c r="V20" s="178">
        <f t="shared" si="1"/>
        <v>1.5891089108910892</v>
      </c>
      <c r="W20" s="172"/>
      <c r="X20" s="172"/>
      <c r="Z20" s="173"/>
      <c r="AA20" s="173"/>
      <c r="AB20" s="173"/>
    </row>
    <row r="21" spans="1:28" x14ac:dyDescent="0.25">
      <c r="A21" s="174" t="s">
        <v>304</v>
      </c>
      <c r="B21" s="175">
        <v>3031</v>
      </c>
      <c r="C21" s="175">
        <v>2682</v>
      </c>
      <c r="D21" s="175">
        <v>2608</v>
      </c>
      <c r="E21" s="175">
        <v>2597</v>
      </c>
      <c r="F21" s="175">
        <v>2599</v>
      </c>
      <c r="G21" s="175">
        <v>2660</v>
      </c>
      <c r="H21" s="175">
        <v>2665</v>
      </c>
      <c r="I21" s="175">
        <v>2791</v>
      </c>
      <c r="J21" s="175">
        <v>3079</v>
      </c>
      <c r="K21" s="175">
        <v>3270</v>
      </c>
      <c r="L21" s="175">
        <v>3263</v>
      </c>
      <c r="M21" s="175">
        <v>3414</v>
      </c>
      <c r="N21" s="175">
        <v>3599</v>
      </c>
      <c r="O21" s="175">
        <v>3750</v>
      </c>
      <c r="P21" s="175">
        <v>3882</v>
      </c>
      <c r="Q21" s="175">
        <v>4196</v>
      </c>
      <c r="R21" s="175">
        <v>4680</v>
      </c>
      <c r="S21" s="175">
        <v>4673</v>
      </c>
      <c r="T21" s="176">
        <v>4803</v>
      </c>
      <c r="V21" s="178">
        <f t="shared" si="1"/>
        <v>0.58462553612669077</v>
      </c>
      <c r="W21" s="172"/>
      <c r="X21" s="172"/>
      <c r="Z21" s="173"/>
      <c r="AA21" s="173"/>
      <c r="AB21" s="173"/>
    </row>
    <row r="22" spans="1:28" x14ac:dyDescent="0.25">
      <c r="A22" s="174" t="s">
        <v>305</v>
      </c>
      <c r="B22" s="175">
        <v>222</v>
      </c>
      <c r="C22" s="175">
        <v>250</v>
      </c>
      <c r="D22" s="175">
        <v>255</v>
      </c>
      <c r="E22" s="175">
        <v>278</v>
      </c>
      <c r="F22" s="175">
        <v>278</v>
      </c>
      <c r="G22" s="175">
        <v>200</v>
      </c>
      <c r="H22" s="175">
        <v>120</v>
      </c>
      <c r="I22" s="175">
        <v>239</v>
      </c>
      <c r="J22" s="175">
        <v>145</v>
      </c>
      <c r="K22" s="175">
        <v>138</v>
      </c>
      <c r="L22" s="175">
        <v>150</v>
      </c>
      <c r="M22" s="175">
        <v>237</v>
      </c>
      <c r="N22" s="175">
        <v>194</v>
      </c>
      <c r="O22" s="175">
        <v>265</v>
      </c>
      <c r="P22" s="175">
        <v>302</v>
      </c>
      <c r="Q22" s="175">
        <v>262</v>
      </c>
      <c r="R22" s="175">
        <v>251</v>
      </c>
      <c r="S22" s="175">
        <v>257</v>
      </c>
      <c r="T22" s="176">
        <v>307</v>
      </c>
      <c r="V22" s="178">
        <f t="shared" si="1"/>
        <v>0.38288288288288297</v>
      </c>
      <c r="W22" s="172"/>
      <c r="X22" s="172"/>
      <c r="Z22" s="173"/>
      <c r="AA22" s="173"/>
      <c r="AB22" s="173"/>
    </row>
    <row r="23" spans="1:28" x14ac:dyDescent="0.25">
      <c r="A23" s="174" t="s">
        <v>306</v>
      </c>
      <c r="B23" s="175">
        <v>10385</v>
      </c>
      <c r="C23" s="175">
        <v>10575</v>
      </c>
      <c r="D23" s="175">
        <v>11235</v>
      </c>
      <c r="E23" s="175">
        <v>11602</v>
      </c>
      <c r="F23" s="175">
        <v>11842</v>
      </c>
      <c r="G23" s="175">
        <v>12436</v>
      </c>
      <c r="H23" s="175">
        <v>13152</v>
      </c>
      <c r="I23" s="175">
        <v>13526</v>
      </c>
      <c r="J23" s="175">
        <v>13644</v>
      </c>
      <c r="K23" s="175">
        <v>13803</v>
      </c>
      <c r="L23" s="175">
        <v>13858</v>
      </c>
      <c r="M23" s="175">
        <v>14275</v>
      </c>
      <c r="N23" s="175">
        <v>14621</v>
      </c>
      <c r="O23" s="175">
        <v>14716</v>
      </c>
      <c r="P23" s="175">
        <v>15084</v>
      </c>
      <c r="Q23" s="175">
        <v>15114</v>
      </c>
      <c r="R23" s="175">
        <v>15615</v>
      </c>
      <c r="S23" s="175">
        <v>15693</v>
      </c>
      <c r="T23" s="176">
        <v>15827</v>
      </c>
      <c r="V23" s="178">
        <f t="shared" si="1"/>
        <v>0.5240250361097738</v>
      </c>
      <c r="W23" s="172"/>
      <c r="X23" s="172"/>
      <c r="Z23" s="173"/>
      <c r="AA23" s="173"/>
      <c r="AB23" s="173"/>
    </row>
    <row r="24" spans="1:28" x14ac:dyDescent="0.25">
      <c r="A24" s="174" t="s">
        <v>307</v>
      </c>
      <c r="B24" s="175">
        <v>5029</v>
      </c>
      <c r="C24" s="175">
        <v>5571</v>
      </c>
      <c r="D24" s="175">
        <v>5603</v>
      </c>
      <c r="E24" s="175">
        <v>5668</v>
      </c>
      <c r="F24" s="175">
        <v>5701</v>
      </c>
      <c r="G24" s="175">
        <v>5808</v>
      </c>
      <c r="H24" s="175">
        <v>6365</v>
      </c>
      <c r="I24" s="175">
        <v>6078</v>
      </c>
      <c r="J24" s="175">
        <v>6754</v>
      </c>
      <c r="K24" s="175">
        <v>6551</v>
      </c>
      <c r="L24" s="175">
        <v>6878</v>
      </c>
      <c r="M24" s="175">
        <v>7294</v>
      </c>
      <c r="N24" s="175">
        <v>7936</v>
      </c>
      <c r="O24" s="175">
        <v>8465</v>
      </c>
      <c r="P24" s="175">
        <v>8754</v>
      </c>
      <c r="Q24" s="175">
        <v>8997</v>
      </c>
      <c r="R24" s="175">
        <v>8712</v>
      </c>
      <c r="S24" s="175">
        <v>8859</v>
      </c>
      <c r="T24" s="176">
        <v>8426</v>
      </c>
      <c r="V24" s="178">
        <f t="shared" si="1"/>
        <v>0.67548220322131636</v>
      </c>
      <c r="W24" s="172"/>
      <c r="X24" s="172"/>
      <c r="Z24" s="173"/>
      <c r="AA24" s="173"/>
      <c r="AB24" s="173"/>
    </row>
    <row r="25" spans="1:28" x14ac:dyDescent="0.25">
      <c r="A25" s="174" t="s">
        <v>308</v>
      </c>
      <c r="B25" s="175">
        <v>7362</v>
      </c>
      <c r="C25" s="175">
        <v>7557</v>
      </c>
      <c r="D25" s="175">
        <v>7739</v>
      </c>
      <c r="E25" s="175">
        <v>7601</v>
      </c>
      <c r="F25" s="175">
        <v>7987</v>
      </c>
      <c r="G25" s="175">
        <v>8275</v>
      </c>
      <c r="H25" s="175">
        <v>9281</v>
      </c>
      <c r="I25" s="175">
        <v>9662</v>
      </c>
      <c r="J25" s="175">
        <v>9532</v>
      </c>
      <c r="K25" s="175">
        <v>10559</v>
      </c>
      <c r="L25" s="175">
        <v>9204</v>
      </c>
      <c r="M25" s="175">
        <v>9190</v>
      </c>
      <c r="N25" s="175">
        <v>9002</v>
      </c>
      <c r="O25" s="175">
        <v>10214</v>
      </c>
      <c r="P25" s="175">
        <v>11321</v>
      </c>
      <c r="Q25" s="175">
        <v>12085</v>
      </c>
      <c r="R25" s="175">
        <v>13432</v>
      </c>
      <c r="S25" s="175">
        <v>14755</v>
      </c>
      <c r="T25" s="176">
        <v>15841</v>
      </c>
      <c r="V25" s="178">
        <f t="shared" si="1"/>
        <v>1.1517250747079597</v>
      </c>
      <c r="W25" s="172"/>
      <c r="X25" s="172"/>
      <c r="Z25" s="173"/>
      <c r="AA25" s="173"/>
      <c r="AB25" s="173"/>
    </row>
    <row r="26" spans="1:28" x14ac:dyDescent="0.25">
      <c r="A26" s="174" t="s">
        <v>309</v>
      </c>
      <c r="B26" s="175">
        <v>3740</v>
      </c>
      <c r="C26" s="175">
        <v>3999</v>
      </c>
      <c r="D26" s="175">
        <v>4329</v>
      </c>
      <c r="E26" s="175">
        <v>4489</v>
      </c>
      <c r="F26" s="175">
        <v>4700</v>
      </c>
      <c r="G26" s="175">
        <v>4869</v>
      </c>
      <c r="H26" s="175">
        <v>5129</v>
      </c>
      <c r="I26" s="175">
        <v>5285</v>
      </c>
      <c r="J26" s="175">
        <v>5725</v>
      </c>
      <c r="K26" s="175">
        <v>6065</v>
      </c>
      <c r="L26" s="175">
        <v>6542</v>
      </c>
      <c r="M26" s="175">
        <v>6574</v>
      </c>
      <c r="N26" s="175">
        <v>7157</v>
      </c>
      <c r="O26" s="175">
        <v>7117</v>
      </c>
      <c r="P26" s="175">
        <v>7309</v>
      </c>
      <c r="Q26" s="175">
        <v>7074</v>
      </c>
      <c r="R26" s="175">
        <v>7162</v>
      </c>
      <c r="S26" s="175">
        <v>7244</v>
      </c>
      <c r="T26" s="176">
        <v>7279</v>
      </c>
      <c r="V26" s="178">
        <f t="shared" si="1"/>
        <v>0.94625668449197864</v>
      </c>
      <c r="W26" s="172"/>
      <c r="X26" s="172"/>
      <c r="Z26" s="173"/>
      <c r="AA26" s="173"/>
      <c r="AB26" s="173"/>
    </row>
    <row r="27" spans="1:28" x14ac:dyDescent="0.25">
      <c r="A27" s="174" t="s">
        <v>310</v>
      </c>
      <c r="B27" s="175">
        <v>4407</v>
      </c>
      <c r="C27" s="175">
        <v>3774</v>
      </c>
      <c r="D27" s="175">
        <v>3913</v>
      </c>
      <c r="E27" s="175">
        <v>3187</v>
      </c>
      <c r="F27" s="175">
        <v>3245</v>
      </c>
      <c r="G27" s="175">
        <v>3057</v>
      </c>
      <c r="H27" s="175">
        <v>4051</v>
      </c>
      <c r="I27" s="175">
        <v>4147</v>
      </c>
      <c r="J27" s="175">
        <v>3887</v>
      </c>
      <c r="K27" s="175">
        <v>3136</v>
      </c>
      <c r="L27" s="175">
        <v>3382</v>
      </c>
      <c r="M27" s="175">
        <v>4074</v>
      </c>
      <c r="N27" s="175">
        <v>4341</v>
      </c>
      <c r="O27" s="175">
        <v>4345</v>
      </c>
      <c r="P27" s="175">
        <v>5178</v>
      </c>
      <c r="Q27" s="175">
        <v>4204</v>
      </c>
      <c r="R27" s="175">
        <v>4343</v>
      </c>
      <c r="S27" s="175">
        <v>4664</v>
      </c>
      <c r="T27" s="176">
        <v>5238</v>
      </c>
      <c r="V27" s="178">
        <f t="shared" si="1"/>
        <v>0.18856364874063991</v>
      </c>
      <c r="W27" s="172"/>
      <c r="X27" s="172"/>
      <c r="Z27" s="173"/>
      <c r="AA27" s="173"/>
      <c r="AB27" s="173"/>
    </row>
    <row r="28" spans="1:28" x14ac:dyDescent="0.25">
      <c r="A28" s="174" t="s">
        <v>311</v>
      </c>
      <c r="B28" s="175">
        <v>930</v>
      </c>
      <c r="C28" s="175">
        <v>858</v>
      </c>
      <c r="D28" s="175">
        <v>887</v>
      </c>
      <c r="E28" s="175">
        <v>1071</v>
      </c>
      <c r="F28" s="175">
        <v>1193</v>
      </c>
      <c r="G28" s="175">
        <v>1329</v>
      </c>
      <c r="H28" s="175">
        <v>1499</v>
      </c>
      <c r="I28" s="175">
        <v>1566</v>
      </c>
      <c r="J28" s="175">
        <v>1381</v>
      </c>
      <c r="K28" s="175">
        <v>1316</v>
      </c>
      <c r="L28" s="175">
        <v>1312</v>
      </c>
      <c r="M28" s="175">
        <v>1362</v>
      </c>
      <c r="N28" s="175">
        <v>1321</v>
      </c>
      <c r="O28" s="175">
        <v>1340</v>
      </c>
      <c r="P28" s="175">
        <v>1384</v>
      </c>
      <c r="Q28" s="175">
        <v>1475</v>
      </c>
      <c r="R28" s="175">
        <v>1555</v>
      </c>
      <c r="S28" s="175">
        <v>1754</v>
      </c>
      <c r="T28" s="176">
        <v>2052</v>
      </c>
      <c r="V28" s="178">
        <f t="shared" si="1"/>
        <v>1.2064516129032259</v>
      </c>
      <c r="W28" s="172"/>
      <c r="X28" s="172"/>
      <c r="Z28" s="173"/>
      <c r="AA28" s="173"/>
      <c r="AB28" s="173"/>
    </row>
    <row r="29" spans="1:28" x14ac:dyDescent="0.25">
      <c r="A29" s="174" t="s">
        <v>312</v>
      </c>
      <c r="B29" s="175">
        <v>1440</v>
      </c>
      <c r="C29" s="175">
        <v>1237</v>
      </c>
      <c r="D29" s="175">
        <v>1250</v>
      </c>
      <c r="E29" s="175">
        <v>1067</v>
      </c>
      <c r="F29" s="175">
        <v>1268</v>
      </c>
      <c r="G29" s="175">
        <v>1410</v>
      </c>
      <c r="H29" s="175">
        <v>1284</v>
      </c>
      <c r="I29" s="175">
        <v>1484</v>
      </c>
      <c r="J29" s="175">
        <v>1498</v>
      </c>
      <c r="K29" s="175">
        <v>1504</v>
      </c>
      <c r="L29" s="175">
        <v>1454</v>
      </c>
      <c r="M29" s="175">
        <v>1474</v>
      </c>
      <c r="N29" s="175">
        <v>1792</v>
      </c>
      <c r="O29" s="175">
        <v>1604</v>
      </c>
      <c r="P29" s="175">
        <v>1586</v>
      </c>
      <c r="Q29" s="175">
        <v>1789</v>
      </c>
      <c r="R29" s="175">
        <v>1824</v>
      </c>
      <c r="S29" s="175">
        <v>2021</v>
      </c>
      <c r="T29" s="176">
        <v>2159</v>
      </c>
      <c r="V29" s="178">
        <f t="shared" si="1"/>
        <v>0.49930555555555545</v>
      </c>
      <c r="W29" s="172"/>
      <c r="X29" s="172"/>
      <c r="Z29" s="173"/>
      <c r="AA29" s="173"/>
      <c r="AB29" s="173"/>
    </row>
    <row r="30" spans="1:28" x14ac:dyDescent="0.25">
      <c r="A30" s="174" t="s">
        <v>313</v>
      </c>
      <c r="B30" s="175">
        <v>4321</v>
      </c>
      <c r="C30" s="175">
        <v>4195</v>
      </c>
      <c r="D30" s="175">
        <v>4146</v>
      </c>
      <c r="E30" s="175">
        <v>4085</v>
      </c>
      <c r="F30" s="175">
        <v>4216</v>
      </c>
      <c r="G30" s="175">
        <v>4162</v>
      </c>
      <c r="H30" s="175">
        <v>4091</v>
      </c>
      <c r="I30" s="175">
        <v>4302</v>
      </c>
      <c r="J30" s="175">
        <v>4361</v>
      </c>
      <c r="K30" s="175">
        <v>4464</v>
      </c>
      <c r="L30" s="175">
        <v>4457</v>
      </c>
      <c r="M30" s="175">
        <v>4548</v>
      </c>
      <c r="N30" s="175">
        <v>4567</v>
      </c>
      <c r="O30" s="175">
        <v>4703</v>
      </c>
      <c r="P30" s="175">
        <v>4809</v>
      </c>
      <c r="Q30" s="175">
        <v>4822</v>
      </c>
      <c r="R30" s="175">
        <v>4948</v>
      </c>
      <c r="S30" s="175">
        <v>5143</v>
      </c>
      <c r="T30" s="176">
        <v>4957</v>
      </c>
      <c r="V30" s="178">
        <f t="shared" si="1"/>
        <v>0.14718815089099735</v>
      </c>
      <c r="W30" s="172"/>
      <c r="X30" s="172"/>
      <c r="Z30" s="173"/>
      <c r="AA30" s="173"/>
      <c r="AB30" s="173"/>
    </row>
    <row r="31" spans="1:28" x14ac:dyDescent="0.25">
      <c r="A31" s="174" t="s">
        <v>314</v>
      </c>
      <c r="B31" s="175">
        <v>7276</v>
      </c>
      <c r="C31" s="175">
        <v>7182</v>
      </c>
      <c r="D31" s="175">
        <v>7470</v>
      </c>
      <c r="E31" s="175">
        <v>7318</v>
      </c>
      <c r="F31" s="175">
        <v>7577</v>
      </c>
      <c r="G31" s="175">
        <v>7680</v>
      </c>
      <c r="H31" s="175">
        <v>7633</v>
      </c>
      <c r="I31" s="175">
        <v>7711</v>
      </c>
      <c r="J31" s="175">
        <v>7800</v>
      </c>
      <c r="K31" s="175">
        <v>8018</v>
      </c>
      <c r="L31" s="175">
        <v>8088</v>
      </c>
      <c r="M31" s="175">
        <v>8064</v>
      </c>
      <c r="N31" s="175">
        <v>7973</v>
      </c>
      <c r="O31" s="175">
        <v>8088</v>
      </c>
      <c r="P31" s="175">
        <v>8405</v>
      </c>
      <c r="Q31" s="175">
        <v>8590</v>
      </c>
      <c r="R31" s="175">
        <v>8565</v>
      </c>
      <c r="S31" s="175">
        <v>8744</v>
      </c>
      <c r="T31" s="176">
        <v>9055</v>
      </c>
      <c r="V31" s="178">
        <f t="shared" si="1"/>
        <v>0.24450247388675095</v>
      </c>
      <c r="W31" s="172"/>
      <c r="X31" s="172"/>
      <c r="Z31" s="173"/>
      <c r="AA31" s="173"/>
      <c r="AB31" s="173"/>
    </row>
    <row r="32" spans="1:28" x14ac:dyDescent="0.25">
      <c r="A32" s="174" t="s">
        <v>315</v>
      </c>
      <c r="B32" s="175">
        <v>45541</v>
      </c>
      <c r="C32" s="175">
        <v>44927</v>
      </c>
      <c r="D32" s="175">
        <v>45883</v>
      </c>
      <c r="E32" s="175">
        <v>46847</v>
      </c>
      <c r="F32" s="175">
        <v>47027</v>
      </c>
      <c r="G32" s="175">
        <v>47032</v>
      </c>
      <c r="H32" s="175">
        <v>48974</v>
      </c>
      <c r="I32" s="175">
        <v>49687</v>
      </c>
      <c r="J32" s="175">
        <v>50222</v>
      </c>
      <c r="K32" s="175">
        <v>52099</v>
      </c>
      <c r="L32" s="175">
        <v>52307</v>
      </c>
      <c r="M32" s="175">
        <v>51758</v>
      </c>
      <c r="N32" s="175">
        <v>52042</v>
      </c>
      <c r="O32" s="175">
        <v>52665</v>
      </c>
      <c r="P32" s="175">
        <v>53912</v>
      </c>
      <c r="Q32" s="175">
        <v>55206</v>
      </c>
      <c r="R32" s="175">
        <v>55948</v>
      </c>
      <c r="S32" s="175">
        <v>56197</v>
      </c>
      <c r="T32" s="176">
        <v>54934</v>
      </c>
      <c r="V32" s="178">
        <f t="shared" si="1"/>
        <v>0.20625370545222976</v>
      </c>
      <c r="W32" s="172"/>
      <c r="X32" s="172"/>
      <c r="Z32" s="173"/>
      <c r="AA32" s="173"/>
      <c r="AB32" s="173"/>
    </row>
    <row r="33" spans="1:28" x14ac:dyDescent="0.25">
      <c r="A33" s="174" t="s">
        <v>316</v>
      </c>
      <c r="B33" s="175"/>
      <c r="C33" s="175"/>
      <c r="D33" s="175"/>
      <c r="E33" s="175"/>
      <c r="F33" s="175"/>
      <c r="G33" s="175"/>
      <c r="H33" s="175"/>
      <c r="I33" s="175"/>
      <c r="J33" s="175"/>
      <c r="K33" s="175"/>
      <c r="L33" s="175"/>
      <c r="M33" s="175"/>
      <c r="N33" s="175"/>
      <c r="O33" s="175"/>
      <c r="P33" s="175"/>
      <c r="Q33" s="175"/>
      <c r="R33" s="175"/>
      <c r="S33" s="175"/>
      <c r="T33" s="176"/>
      <c r="V33" s="178"/>
      <c r="W33" s="172"/>
      <c r="X33" s="172"/>
      <c r="Z33" s="173"/>
      <c r="AA33" s="173"/>
      <c r="AB33" s="173"/>
    </row>
    <row r="34" spans="1:28" x14ac:dyDescent="0.25">
      <c r="A34" s="174" t="s">
        <v>317</v>
      </c>
      <c r="B34" s="175">
        <v>9389</v>
      </c>
      <c r="C34" s="175">
        <v>9025</v>
      </c>
      <c r="D34" s="175">
        <v>9245</v>
      </c>
      <c r="E34" s="175">
        <v>10998</v>
      </c>
      <c r="F34" s="175">
        <v>10647</v>
      </c>
      <c r="G34" s="175">
        <v>11932</v>
      </c>
      <c r="H34" s="175">
        <v>12608</v>
      </c>
      <c r="I34" s="175">
        <v>11913</v>
      </c>
      <c r="J34" s="175">
        <v>11156</v>
      </c>
      <c r="K34" s="175">
        <v>11668</v>
      </c>
      <c r="L34" s="175">
        <v>12241</v>
      </c>
      <c r="M34" s="175">
        <v>11722</v>
      </c>
      <c r="N34" s="175">
        <v>12595</v>
      </c>
      <c r="O34" s="175">
        <v>12636</v>
      </c>
      <c r="P34" s="175">
        <v>12860</v>
      </c>
      <c r="Q34" s="175">
        <v>13398</v>
      </c>
      <c r="R34" s="175">
        <v>14883</v>
      </c>
      <c r="S34" s="175">
        <v>16947</v>
      </c>
      <c r="T34" s="176">
        <v>16254</v>
      </c>
      <c r="V34" s="178">
        <f t="shared" si="1"/>
        <v>0.73117477899669825</v>
      </c>
      <c r="W34" s="172"/>
      <c r="X34" s="172"/>
      <c r="Z34" s="173"/>
      <c r="AA34" s="173"/>
      <c r="AB34" s="173"/>
    </row>
    <row r="35" spans="1:28" x14ac:dyDescent="0.25">
      <c r="A35" s="174" t="s">
        <v>318</v>
      </c>
      <c r="B35" s="175">
        <v>285</v>
      </c>
      <c r="C35" s="175">
        <v>279</v>
      </c>
      <c r="D35" s="175">
        <v>279</v>
      </c>
      <c r="E35" s="175">
        <v>276</v>
      </c>
      <c r="F35" s="175">
        <v>291</v>
      </c>
      <c r="G35" s="175">
        <v>273</v>
      </c>
      <c r="H35" s="175">
        <v>314</v>
      </c>
      <c r="I35" s="175">
        <v>291</v>
      </c>
      <c r="J35" s="175">
        <v>317</v>
      </c>
      <c r="K35" s="175">
        <v>330</v>
      </c>
      <c r="L35" s="175">
        <v>345</v>
      </c>
      <c r="M35" s="175">
        <v>329</v>
      </c>
      <c r="N35" s="175">
        <v>316</v>
      </c>
      <c r="O35" s="175">
        <v>319</v>
      </c>
      <c r="P35" s="175">
        <v>345</v>
      </c>
      <c r="Q35" s="175">
        <v>360</v>
      </c>
      <c r="R35" s="175">
        <v>479</v>
      </c>
      <c r="S35" s="181"/>
      <c r="T35" s="176"/>
      <c r="V35" s="178">
        <f>(R35/B35)-1</f>
        <v>0.68070175438596481</v>
      </c>
      <c r="W35" s="172"/>
      <c r="X35" s="172"/>
      <c r="Z35" s="173"/>
      <c r="AA35" s="173"/>
      <c r="AB35" s="173"/>
    </row>
    <row r="36" spans="1:28" x14ac:dyDescent="0.25">
      <c r="A36" s="174" t="s">
        <v>319</v>
      </c>
      <c r="B36" s="175">
        <v>4122</v>
      </c>
      <c r="C36" s="175">
        <v>3849</v>
      </c>
      <c r="D36" s="175">
        <v>3956</v>
      </c>
      <c r="E36" s="175">
        <v>4127</v>
      </c>
      <c r="F36" s="175">
        <v>4145</v>
      </c>
      <c r="G36" s="175">
        <v>4128</v>
      </c>
      <c r="H36" s="175">
        <v>4435</v>
      </c>
      <c r="I36" s="175">
        <v>4505</v>
      </c>
      <c r="J36" s="175">
        <v>4650</v>
      </c>
      <c r="K36" s="175">
        <v>4783</v>
      </c>
      <c r="L36" s="175">
        <v>4420</v>
      </c>
      <c r="M36" s="175">
        <v>4505</v>
      </c>
      <c r="N36" s="175">
        <v>4531</v>
      </c>
      <c r="O36" s="175">
        <v>4618</v>
      </c>
      <c r="P36" s="175">
        <v>4801</v>
      </c>
      <c r="Q36" s="175">
        <v>4867</v>
      </c>
      <c r="R36" s="175">
        <v>5050</v>
      </c>
      <c r="S36" s="175">
        <v>5323</v>
      </c>
      <c r="T36" s="176">
        <v>5119</v>
      </c>
      <c r="V36" s="178">
        <f t="shared" si="1"/>
        <v>0.24187287724405637</v>
      </c>
      <c r="W36" s="172"/>
      <c r="X36" s="172"/>
      <c r="Z36" s="173"/>
      <c r="AA36" s="173"/>
      <c r="AB36" s="173"/>
    </row>
    <row r="37" spans="1:28" x14ac:dyDescent="0.25">
      <c r="A37" s="174" t="s">
        <v>320</v>
      </c>
      <c r="B37" s="175">
        <v>6158</v>
      </c>
      <c r="C37" s="175">
        <v>6258</v>
      </c>
      <c r="D37" s="175">
        <v>6454</v>
      </c>
      <c r="E37" s="175">
        <v>6154</v>
      </c>
      <c r="F37" s="175">
        <v>6336</v>
      </c>
      <c r="G37" s="175">
        <v>6305</v>
      </c>
      <c r="H37" s="175">
        <v>6370</v>
      </c>
      <c r="I37" s="175">
        <v>6586</v>
      </c>
      <c r="J37" s="175">
        <v>6701</v>
      </c>
      <c r="K37" s="175">
        <v>6766</v>
      </c>
      <c r="L37" s="175">
        <v>7237</v>
      </c>
      <c r="M37" s="175">
        <v>7091</v>
      </c>
      <c r="N37" s="175">
        <v>7049</v>
      </c>
      <c r="O37" s="175">
        <v>6985</v>
      </c>
      <c r="P37" s="175">
        <v>6828</v>
      </c>
      <c r="Q37" s="175">
        <v>7009</v>
      </c>
      <c r="R37" s="175">
        <v>7107</v>
      </c>
      <c r="S37" s="175">
        <v>7286</v>
      </c>
      <c r="T37" s="176">
        <v>7518</v>
      </c>
      <c r="V37" s="178">
        <f t="shared" si="1"/>
        <v>0.22085092562520292</v>
      </c>
      <c r="W37" s="172"/>
      <c r="X37" s="172"/>
      <c r="Z37" s="173"/>
      <c r="AA37" s="173"/>
      <c r="AB37" s="173"/>
    </row>
    <row r="38" spans="1:28" s="184" customFormat="1" x14ac:dyDescent="0.25">
      <c r="A38" s="182" t="s">
        <v>20</v>
      </c>
      <c r="B38" s="183">
        <f t="shared" ref="B38:R38" si="2">SUM(B6:B37)</f>
        <v>301355</v>
      </c>
      <c r="C38" s="183">
        <f t="shared" si="2"/>
        <v>302153</v>
      </c>
      <c r="D38" s="183">
        <f t="shared" si="2"/>
        <v>311386</v>
      </c>
      <c r="E38" s="183">
        <f t="shared" si="2"/>
        <v>317944</v>
      </c>
      <c r="F38" s="183">
        <f t="shared" si="2"/>
        <v>319326</v>
      </c>
      <c r="G38" s="183">
        <f t="shared" si="2"/>
        <v>324523</v>
      </c>
      <c r="H38" s="183">
        <f t="shared" si="2"/>
        <v>336934</v>
      </c>
      <c r="I38" s="183">
        <f t="shared" si="2"/>
        <v>342754</v>
      </c>
      <c r="J38" s="183">
        <f t="shared" si="2"/>
        <v>353062</v>
      </c>
      <c r="K38" s="183">
        <f t="shared" si="2"/>
        <v>362518</v>
      </c>
      <c r="L38" s="183">
        <f t="shared" si="2"/>
        <v>365246</v>
      </c>
      <c r="M38" s="183">
        <f t="shared" si="2"/>
        <v>367844</v>
      </c>
      <c r="N38" s="183">
        <f t="shared" si="2"/>
        <v>372127</v>
      </c>
      <c r="O38" s="183">
        <f t="shared" si="2"/>
        <v>377018</v>
      </c>
      <c r="P38" s="183">
        <f t="shared" si="2"/>
        <v>386965</v>
      </c>
      <c r="Q38" s="183">
        <f t="shared" si="2"/>
        <v>390345</v>
      </c>
      <c r="R38" s="183">
        <f t="shared" si="2"/>
        <v>399709</v>
      </c>
      <c r="S38" s="183">
        <f>R38*S39/R39</f>
        <v>406868.57983868947</v>
      </c>
      <c r="T38" s="183">
        <f>S38*T39/S39</f>
        <v>403642.7140520502</v>
      </c>
      <c r="V38" s="185">
        <f t="shared" si="1"/>
        <v>0.33942597286273735</v>
      </c>
    </row>
    <row r="39" spans="1:28" x14ac:dyDescent="0.25">
      <c r="A39" s="186" t="s">
        <v>321</v>
      </c>
      <c r="B39" s="187">
        <f t="shared" ref="B39:S39" si="3">SUM(B6:B37)-B35</f>
        <v>301070</v>
      </c>
      <c r="C39" s="187">
        <f t="shared" si="3"/>
        <v>301874</v>
      </c>
      <c r="D39" s="187">
        <f t="shared" si="3"/>
        <v>311107</v>
      </c>
      <c r="E39" s="187">
        <f t="shared" si="3"/>
        <v>317668</v>
      </c>
      <c r="F39" s="187">
        <f t="shared" si="3"/>
        <v>319035</v>
      </c>
      <c r="G39" s="187">
        <f t="shared" si="3"/>
        <v>324250</v>
      </c>
      <c r="H39" s="187">
        <f t="shared" si="3"/>
        <v>336620</v>
      </c>
      <c r="I39" s="187">
        <f t="shared" si="3"/>
        <v>342463</v>
      </c>
      <c r="J39" s="187">
        <f t="shared" si="3"/>
        <v>352745</v>
      </c>
      <c r="K39" s="187">
        <f t="shared" si="3"/>
        <v>362188</v>
      </c>
      <c r="L39" s="187">
        <f t="shared" si="3"/>
        <v>364901</v>
      </c>
      <c r="M39" s="187">
        <f t="shared" si="3"/>
        <v>367515</v>
      </c>
      <c r="N39" s="187">
        <f t="shared" si="3"/>
        <v>371811</v>
      </c>
      <c r="O39" s="187">
        <f t="shared" si="3"/>
        <v>376699</v>
      </c>
      <c r="P39" s="187">
        <f t="shared" si="3"/>
        <v>386620</v>
      </c>
      <c r="Q39" s="187">
        <f t="shared" si="3"/>
        <v>389985</v>
      </c>
      <c r="R39" s="187">
        <f t="shared" si="3"/>
        <v>399230</v>
      </c>
      <c r="S39" s="187">
        <f t="shared" si="3"/>
        <v>406381</v>
      </c>
      <c r="T39" s="187">
        <f>SUM(T6:T37)-T35</f>
        <v>403159</v>
      </c>
    </row>
    <row r="41" spans="1:28" ht="18" x14ac:dyDescent="0.25">
      <c r="A41" s="188" t="s">
        <v>322</v>
      </c>
    </row>
    <row r="43" spans="1:28" x14ac:dyDescent="0.25">
      <c r="A43" s="166" t="s">
        <v>323</v>
      </c>
      <c r="B43" s="166" t="s">
        <v>324</v>
      </c>
      <c r="C43" s="166"/>
    </row>
    <row r="44" spans="1:28" x14ac:dyDescent="0.25">
      <c r="A44" s="166" t="s">
        <v>325</v>
      </c>
      <c r="B44" s="166" t="s">
        <v>326</v>
      </c>
      <c r="C44" s="166"/>
    </row>
    <row r="45" spans="1:28" x14ac:dyDescent="0.25">
      <c r="A45" s="166" t="s">
        <v>327</v>
      </c>
      <c r="B45" s="166" t="s">
        <v>124</v>
      </c>
      <c r="C45" s="166"/>
    </row>
    <row r="47" spans="1:28" x14ac:dyDescent="0.25">
      <c r="A47" s="168" t="s">
        <v>265</v>
      </c>
      <c r="B47" s="168" t="s">
        <v>266</v>
      </c>
      <c r="C47" s="168" t="s">
        <v>267</v>
      </c>
      <c r="D47" s="168" t="s">
        <v>268</v>
      </c>
      <c r="E47" s="168" t="s">
        <v>269</v>
      </c>
      <c r="F47" s="168" t="s">
        <v>270</v>
      </c>
      <c r="G47" s="168" t="s">
        <v>271</v>
      </c>
      <c r="H47" s="168" t="s">
        <v>272</v>
      </c>
      <c r="I47" s="168" t="s">
        <v>273</v>
      </c>
      <c r="J47" s="168" t="s">
        <v>274</v>
      </c>
      <c r="K47" s="168" t="s">
        <v>275</v>
      </c>
      <c r="L47" s="168" t="s">
        <v>276</v>
      </c>
      <c r="M47" s="168" t="s">
        <v>277</v>
      </c>
      <c r="N47" s="168" t="s">
        <v>278</v>
      </c>
      <c r="O47" s="168" t="s">
        <v>279</v>
      </c>
      <c r="P47" s="168" t="s">
        <v>280</v>
      </c>
      <c r="Q47" s="168" t="s">
        <v>281</v>
      </c>
      <c r="R47" s="168" t="s">
        <v>282</v>
      </c>
      <c r="S47" s="168" t="s">
        <v>283</v>
      </c>
      <c r="T47" s="168" t="s">
        <v>328</v>
      </c>
      <c r="U47" s="189"/>
    </row>
    <row r="48" spans="1:28" x14ac:dyDescent="0.25">
      <c r="A48" s="168" t="s">
        <v>286</v>
      </c>
      <c r="B48" s="190">
        <v>470388225</v>
      </c>
      <c r="C48" s="190">
        <v>471967435</v>
      </c>
      <c r="D48" s="190">
        <v>473243010</v>
      </c>
      <c r="E48" s="190">
        <v>474876205</v>
      </c>
      <c r="F48" s="190">
        <v>476066786</v>
      </c>
      <c r="G48" s="190">
        <v>477009518</v>
      </c>
      <c r="H48" s="190">
        <v>477855639</v>
      </c>
      <c r="I48" s="190">
        <v>478630165</v>
      </c>
      <c r="J48" s="190">
        <v>480920265</v>
      </c>
      <c r="K48" s="190">
        <v>481617952</v>
      </c>
      <c r="L48" s="190">
        <v>482767710</v>
      </c>
      <c r="M48" s="190">
        <v>483797218</v>
      </c>
      <c r="N48" s="190">
        <v>484636747</v>
      </c>
      <c r="O48" s="190">
        <v>486647831</v>
      </c>
      <c r="P48" s="190">
        <v>488799601</v>
      </c>
      <c r="Q48" s="190">
        <v>491153644</v>
      </c>
      <c r="R48" s="190">
        <v>493226936</v>
      </c>
      <c r="S48" s="190">
        <v>495305424</v>
      </c>
      <c r="T48" s="190">
        <v>497645455</v>
      </c>
      <c r="U48" s="189"/>
    </row>
    <row r="49" spans="1:21" x14ac:dyDescent="0.25">
      <c r="A49" s="168" t="s">
        <v>287</v>
      </c>
      <c r="B49" s="190">
        <f>B51+B54+B55+B57+B58+B59+B60+B61+B65+B68+B69+B71+B75+B76+B77</f>
        <v>364840809.33437729</v>
      </c>
      <c r="C49" s="190">
        <f t="shared" ref="C49:T49" si="4">C51+C54+C55+C57+C58+C59+C60+C61+C65+C68+C69+C71+C75+C76+C77</f>
        <v>366536165</v>
      </c>
      <c r="D49" s="190">
        <f t="shared" si="4"/>
        <v>368174829</v>
      </c>
      <c r="E49" s="190">
        <f t="shared" si="4"/>
        <v>369939383</v>
      </c>
      <c r="F49" s="190">
        <f t="shared" si="4"/>
        <v>371195188</v>
      </c>
      <c r="G49" s="190">
        <f t="shared" si="4"/>
        <v>372229672</v>
      </c>
      <c r="H49" s="190">
        <f t="shared" si="4"/>
        <v>373253406</v>
      </c>
      <c r="I49" s="190">
        <f t="shared" si="4"/>
        <v>374222897</v>
      </c>
      <c r="J49" s="190">
        <f t="shared" si="4"/>
        <v>375071719</v>
      </c>
      <c r="K49" s="190">
        <f t="shared" si="4"/>
        <v>375940984</v>
      </c>
      <c r="L49" s="190">
        <f t="shared" si="4"/>
        <v>377245078</v>
      </c>
      <c r="M49" s="190">
        <f t="shared" si="4"/>
        <v>378820442</v>
      </c>
      <c r="N49" s="190">
        <f t="shared" si="4"/>
        <v>380632930</v>
      </c>
      <c r="O49" s="190">
        <f t="shared" si="4"/>
        <v>382828349</v>
      </c>
      <c r="P49" s="190">
        <f t="shared" si="4"/>
        <v>385145422</v>
      </c>
      <c r="Q49" s="190">
        <f t="shared" si="4"/>
        <v>387628583</v>
      </c>
      <c r="R49" s="190">
        <f t="shared" si="4"/>
        <v>389806742</v>
      </c>
      <c r="S49" s="190">
        <f t="shared" si="4"/>
        <v>391947739</v>
      </c>
      <c r="T49" s="190">
        <f t="shared" si="4"/>
        <v>394349076</v>
      </c>
      <c r="U49" s="189"/>
    </row>
    <row r="50" spans="1:21" x14ac:dyDescent="0.25">
      <c r="A50" s="191"/>
      <c r="B50" s="190"/>
      <c r="C50" s="190"/>
      <c r="D50" s="190"/>
      <c r="E50" s="190"/>
      <c r="F50" s="190"/>
      <c r="G50" s="190"/>
      <c r="H50" s="190"/>
      <c r="I50" s="190"/>
      <c r="J50" s="190"/>
      <c r="K50" s="190"/>
      <c r="L50" s="190"/>
      <c r="M50" s="190"/>
      <c r="N50" s="190"/>
      <c r="O50" s="190"/>
      <c r="P50" s="190"/>
      <c r="Q50" s="190"/>
      <c r="R50" s="190"/>
      <c r="S50" s="190"/>
      <c r="T50" s="178"/>
      <c r="U50" s="189"/>
    </row>
    <row r="51" spans="1:21" x14ac:dyDescent="0.25">
      <c r="A51" s="168" t="s">
        <v>289</v>
      </c>
      <c r="B51" s="190">
        <v>9947782</v>
      </c>
      <c r="C51" s="190">
        <v>9986975</v>
      </c>
      <c r="D51" s="190">
        <v>10021997</v>
      </c>
      <c r="E51" s="190">
        <v>10068319</v>
      </c>
      <c r="F51" s="190">
        <v>10100631</v>
      </c>
      <c r="G51" s="190">
        <v>10130574</v>
      </c>
      <c r="H51" s="190">
        <v>10143047</v>
      </c>
      <c r="I51" s="190">
        <v>10170226</v>
      </c>
      <c r="J51" s="190">
        <v>10192264</v>
      </c>
      <c r="K51" s="190">
        <v>10213752</v>
      </c>
      <c r="L51" s="190">
        <v>10239085</v>
      </c>
      <c r="M51" s="190">
        <v>10263414</v>
      </c>
      <c r="N51" s="190">
        <v>10309725</v>
      </c>
      <c r="O51" s="190">
        <v>10355844</v>
      </c>
      <c r="P51" s="190">
        <v>10396421</v>
      </c>
      <c r="Q51" s="190">
        <v>10445852</v>
      </c>
      <c r="R51" s="190">
        <v>10511382</v>
      </c>
      <c r="S51" s="190">
        <v>10584534</v>
      </c>
      <c r="T51" s="190">
        <v>10666866</v>
      </c>
      <c r="U51" s="189"/>
    </row>
    <row r="52" spans="1:21" x14ac:dyDescent="0.25">
      <c r="A52" s="168" t="s">
        <v>290</v>
      </c>
      <c r="B52" s="190">
        <v>8767308</v>
      </c>
      <c r="C52" s="190">
        <v>8669269</v>
      </c>
      <c r="D52" s="190">
        <v>8595465</v>
      </c>
      <c r="E52" s="190">
        <v>8484863</v>
      </c>
      <c r="F52" s="190">
        <v>8459763</v>
      </c>
      <c r="G52" s="190">
        <v>8427418</v>
      </c>
      <c r="H52" s="190">
        <v>8384715</v>
      </c>
      <c r="I52" s="190">
        <v>8340936</v>
      </c>
      <c r="J52" s="190">
        <v>8283200</v>
      </c>
      <c r="K52" s="190">
        <v>8230371</v>
      </c>
      <c r="L52" s="190">
        <v>8190876</v>
      </c>
      <c r="M52" s="190">
        <v>8149468</v>
      </c>
      <c r="N52" s="190">
        <v>7891095</v>
      </c>
      <c r="O52" s="190">
        <v>7845841</v>
      </c>
      <c r="P52" s="190">
        <v>7801273</v>
      </c>
      <c r="Q52" s="190">
        <v>7761049</v>
      </c>
      <c r="R52" s="190">
        <v>7718750</v>
      </c>
      <c r="S52" s="190">
        <v>7679290</v>
      </c>
      <c r="T52" s="190">
        <v>7640238</v>
      </c>
      <c r="U52" s="189"/>
    </row>
    <row r="53" spans="1:21" x14ac:dyDescent="0.25">
      <c r="A53" s="168" t="s">
        <v>291</v>
      </c>
      <c r="B53" s="190">
        <v>10362102</v>
      </c>
      <c r="C53" s="190">
        <v>10304607</v>
      </c>
      <c r="D53" s="190">
        <v>10312548</v>
      </c>
      <c r="E53" s="190">
        <v>10325697</v>
      </c>
      <c r="F53" s="190">
        <v>10334013</v>
      </c>
      <c r="G53" s="190">
        <v>10333161</v>
      </c>
      <c r="H53" s="190">
        <v>10321344</v>
      </c>
      <c r="I53" s="190">
        <v>10309137</v>
      </c>
      <c r="J53" s="190">
        <v>10299125</v>
      </c>
      <c r="K53" s="190">
        <v>10289621</v>
      </c>
      <c r="L53" s="190">
        <v>10278098</v>
      </c>
      <c r="M53" s="190">
        <v>10266546</v>
      </c>
      <c r="N53" s="190">
        <v>10206436</v>
      </c>
      <c r="O53" s="190">
        <v>10203269</v>
      </c>
      <c r="P53" s="190">
        <v>10211455</v>
      </c>
      <c r="Q53" s="190">
        <v>10220577</v>
      </c>
      <c r="R53" s="190">
        <v>10251079</v>
      </c>
      <c r="S53" s="190">
        <v>10287189</v>
      </c>
      <c r="T53" s="190">
        <v>10381130</v>
      </c>
      <c r="U53" s="189"/>
    </row>
    <row r="54" spans="1:21" x14ac:dyDescent="0.25">
      <c r="A54" s="168" t="s">
        <v>292</v>
      </c>
      <c r="B54" s="190">
        <v>5135409</v>
      </c>
      <c r="C54" s="190">
        <v>5146469</v>
      </c>
      <c r="D54" s="190">
        <v>5162126</v>
      </c>
      <c r="E54" s="190">
        <v>5180614</v>
      </c>
      <c r="F54" s="190">
        <v>5196642</v>
      </c>
      <c r="G54" s="190">
        <v>5215718</v>
      </c>
      <c r="H54" s="190">
        <v>5251027</v>
      </c>
      <c r="I54" s="190">
        <v>5275121</v>
      </c>
      <c r="J54" s="190">
        <v>5294860</v>
      </c>
      <c r="K54" s="190">
        <v>5313577</v>
      </c>
      <c r="L54" s="190">
        <v>5330020</v>
      </c>
      <c r="M54" s="190">
        <v>5349212</v>
      </c>
      <c r="N54" s="190">
        <v>5368354</v>
      </c>
      <c r="O54" s="190">
        <v>5383507</v>
      </c>
      <c r="P54" s="190">
        <v>5397640</v>
      </c>
      <c r="Q54" s="190">
        <v>5411405</v>
      </c>
      <c r="R54" s="190">
        <v>5427459</v>
      </c>
      <c r="S54" s="190">
        <v>5447084</v>
      </c>
      <c r="T54" s="190">
        <v>5475791</v>
      </c>
      <c r="U54" s="189"/>
    </row>
    <row r="55" spans="1:21" x14ac:dyDescent="0.25">
      <c r="A55" s="168" t="s">
        <v>293</v>
      </c>
      <c r="B55" s="190">
        <v>79112831</v>
      </c>
      <c r="C55" s="190">
        <v>79753227</v>
      </c>
      <c r="D55" s="190">
        <v>80274564</v>
      </c>
      <c r="E55" s="190">
        <v>80974632</v>
      </c>
      <c r="F55" s="190">
        <v>81338093</v>
      </c>
      <c r="G55" s="190">
        <v>81538603</v>
      </c>
      <c r="H55" s="190">
        <v>81817499</v>
      </c>
      <c r="I55" s="190">
        <v>82012162</v>
      </c>
      <c r="J55" s="190">
        <v>82057379</v>
      </c>
      <c r="K55" s="190">
        <v>82037011</v>
      </c>
      <c r="L55" s="190">
        <v>82163475</v>
      </c>
      <c r="M55" s="190">
        <v>82259540</v>
      </c>
      <c r="N55" s="190">
        <v>82440309</v>
      </c>
      <c r="O55" s="190">
        <v>82536680</v>
      </c>
      <c r="P55" s="190">
        <v>82531671</v>
      </c>
      <c r="Q55" s="190">
        <v>82500849</v>
      </c>
      <c r="R55" s="190">
        <v>82437995</v>
      </c>
      <c r="S55" s="190">
        <v>82314906</v>
      </c>
      <c r="T55" s="190">
        <v>82217837</v>
      </c>
      <c r="U55" s="189"/>
    </row>
    <row r="56" spans="1:21" x14ac:dyDescent="0.25">
      <c r="A56" s="168" t="s">
        <v>294</v>
      </c>
      <c r="B56" s="190">
        <v>1570599</v>
      </c>
      <c r="C56" s="190">
        <v>1567749</v>
      </c>
      <c r="D56" s="190">
        <v>1554878</v>
      </c>
      <c r="E56" s="190">
        <v>1511303</v>
      </c>
      <c r="F56" s="190">
        <v>1476952</v>
      </c>
      <c r="G56" s="190">
        <v>1448075</v>
      </c>
      <c r="H56" s="190">
        <v>1425192</v>
      </c>
      <c r="I56" s="190">
        <v>1405996</v>
      </c>
      <c r="J56" s="190">
        <v>1393074</v>
      </c>
      <c r="K56" s="190">
        <v>1379237</v>
      </c>
      <c r="L56" s="190">
        <v>1372071</v>
      </c>
      <c r="M56" s="190">
        <v>1366959</v>
      </c>
      <c r="N56" s="190">
        <v>1361242</v>
      </c>
      <c r="O56" s="190">
        <v>1356045</v>
      </c>
      <c r="P56" s="190">
        <v>1351069</v>
      </c>
      <c r="Q56" s="190">
        <v>1347510</v>
      </c>
      <c r="R56" s="190">
        <v>1344684</v>
      </c>
      <c r="S56" s="190">
        <v>1342409</v>
      </c>
      <c r="T56" s="190">
        <v>1340935</v>
      </c>
      <c r="U56" s="189"/>
    </row>
    <row r="57" spans="1:21" x14ac:dyDescent="0.25">
      <c r="A57" s="168" t="s">
        <v>295</v>
      </c>
      <c r="B57" s="190">
        <v>3506970</v>
      </c>
      <c r="C57" s="190">
        <v>3520977</v>
      </c>
      <c r="D57" s="190">
        <v>3547492</v>
      </c>
      <c r="E57" s="190">
        <v>3569367</v>
      </c>
      <c r="F57" s="190">
        <v>3583154</v>
      </c>
      <c r="G57" s="190">
        <v>3597617</v>
      </c>
      <c r="H57" s="190">
        <v>3620065</v>
      </c>
      <c r="I57" s="190">
        <v>3654955</v>
      </c>
      <c r="J57" s="190">
        <v>3693582</v>
      </c>
      <c r="K57" s="190">
        <v>3732201</v>
      </c>
      <c r="L57" s="190">
        <v>3777763</v>
      </c>
      <c r="M57" s="190">
        <v>3832973</v>
      </c>
      <c r="N57" s="190">
        <v>3899876</v>
      </c>
      <c r="O57" s="190">
        <v>3963665</v>
      </c>
      <c r="P57" s="190">
        <v>4027732</v>
      </c>
      <c r="Q57" s="190">
        <v>4109173</v>
      </c>
      <c r="R57" s="190">
        <v>4209019</v>
      </c>
      <c r="S57" s="190">
        <v>4312526</v>
      </c>
      <c r="T57" s="190">
        <v>4401335</v>
      </c>
      <c r="U57" s="189"/>
    </row>
    <row r="58" spans="1:21" x14ac:dyDescent="0.25">
      <c r="A58" s="168" t="s">
        <v>296</v>
      </c>
      <c r="B58" s="190">
        <v>10120892</v>
      </c>
      <c r="C58" s="190">
        <v>10192911</v>
      </c>
      <c r="D58" s="190">
        <v>10319672</v>
      </c>
      <c r="E58" s="190">
        <v>10420059</v>
      </c>
      <c r="F58" s="190">
        <v>10510996</v>
      </c>
      <c r="G58" s="190">
        <v>10595074</v>
      </c>
      <c r="H58" s="190">
        <v>10673696</v>
      </c>
      <c r="I58" s="190">
        <v>10744649</v>
      </c>
      <c r="J58" s="190">
        <v>10808358</v>
      </c>
      <c r="K58" s="190">
        <v>10861402</v>
      </c>
      <c r="L58" s="190">
        <v>10903757</v>
      </c>
      <c r="M58" s="190">
        <v>10931206</v>
      </c>
      <c r="N58" s="190">
        <v>10968708</v>
      </c>
      <c r="O58" s="190">
        <v>11006377</v>
      </c>
      <c r="P58" s="190">
        <v>11040650</v>
      </c>
      <c r="Q58" s="190">
        <v>11082751</v>
      </c>
      <c r="R58" s="190">
        <v>11125179</v>
      </c>
      <c r="S58" s="190">
        <v>11171740</v>
      </c>
      <c r="T58" s="190">
        <v>11213785</v>
      </c>
      <c r="U58" s="189"/>
    </row>
    <row r="59" spans="1:21" x14ac:dyDescent="0.25">
      <c r="A59" s="168" t="s">
        <v>297</v>
      </c>
      <c r="B59" s="190">
        <v>38826297</v>
      </c>
      <c r="C59" s="190">
        <v>38874573</v>
      </c>
      <c r="D59" s="190">
        <v>39003524</v>
      </c>
      <c r="E59" s="190">
        <v>39131966</v>
      </c>
      <c r="F59" s="190">
        <v>39246833</v>
      </c>
      <c r="G59" s="190">
        <v>39343100</v>
      </c>
      <c r="H59" s="190">
        <v>39430933</v>
      </c>
      <c r="I59" s="190">
        <v>39525438</v>
      </c>
      <c r="J59" s="190">
        <v>39639388</v>
      </c>
      <c r="K59" s="190">
        <v>39802827</v>
      </c>
      <c r="L59" s="190">
        <v>40049708</v>
      </c>
      <c r="M59" s="190">
        <v>40476723</v>
      </c>
      <c r="N59" s="190">
        <v>40964244</v>
      </c>
      <c r="O59" s="190">
        <v>41663702</v>
      </c>
      <c r="P59" s="190">
        <v>42345342</v>
      </c>
      <c r="Q59" s="190">
        <v>43038035</v>
      </c>
      <c r="R59" s="190">
        <v>43758250</v>
      </c>
      <c r="S59" s="190">
        <v>44474631</v>
      </c>
      <c r="T59" s="190">
        <v>45283259</v>
      </c>
      <c r="U59" s="189"/>
    </row>
    <row r="60" spans="1:21" x14ac:dyDescent="0.25">
      <c r="A60" s="168" t="s">
        <v>298</v>
      </c>
      <c r="B60" s="192">
        <f>C60/(57089.1/56709)</f>
        <v>57925187.334377311</v>
      </c>
      <c r="C60" s="190">
        <v>58313439</v>
      </c>
      <c r="D60" s="190">
        <v>58604851</v>
      </c>
      <c r="E60" s="190">
        <v>58885929</v>
      </c>
      <c r="F60" s="190">
        <v>59104320</v>
      </c>
      <c r="G60" s="190">
        <v>59315139</v>
      </c>
      <c r="H60" s="190">
        <v>59522297</v>
      </c>
      <c r="I60" s="190">
        <v>59726386</v>
      </c>
      <c r="J60" s="190">
        <v>59934884</v>
      </c>
      <c r="K60" s="190">
        <v>60158533</v>
      </c>
      <c r="L60" s="190">
        <v>60545022</v>
      </c>
      <c r="M60" s="190">
        <v>60979315</v>
      </c>
      <c r="N60" s="190">
        <v>61424036</v>
      </c>
      <c r="O60" s="190">
        <v>61864088</v>
      </c>
      <c r="P60" s="190">
        <v>62292241</v>
      </c>
      <c r="Q60" s="190">
        <v>62772870</v>
      </c>
      <c r="R60" s="190">
        <v>63229443</v>
      </c>
      <c r="S60" s="190">
        <v>63623209</v>
      </c>
      <c r="T60" s="190">
        <v>63982881</v>
      </c>
      <c r="U60" s="189"/>
    </row>
    <row r="61" spans="1:21" x14ac:dyDescent="0.25">
      <c r="A61" s="168" t="s">
        <v>299</v>
      </c>
      <c r="B61" s="190">
        <v>56694360</v>
      </c>
      <c r="C61" s="190">
        <v>56744119</v>
      </c>
      <c r="D61" s="190">
        <v>56772923</v>
      </c>
      <c r="E61" s="190">
        <v>56821250</v>
      </c>
      <c r="F61" s="190">
        <v>56842392</v>
      </c>
      <c r="G61" s="190">
        <v>56844408</v>
      </c>
      <c r="H61" s="190">
        <v>56844197</v>
      </c>
      <c r="I61" s="190">
        <v>56876364</v>
      </c>
      <c r="J61" s="190">
        <v>56904379</v>
      </c>
      <c r="K61" s="190">
        <v>56909109</v>
      </c>
      <c r="L61" s="190">
        <v>56923524</v>
      </c>
      <c r="M61" s="190">
        <v>56960692</v>
      </c>
      <c r="N61" s="190">
        <v>56993742</v>
      </c>
      <c r="O61" s="190">
        <v>57321070</v>
      </c>
      <c r="P61" s="190">
        <v>57888245</v>
      </c>
      <c r="Q61" s="190">
        <v>58462375</v>
      </c>
      <c r="R61" s="190">
        <v>58751711</v>
      </c>
      <c r="S61" s="190">
        <v>59131287</v>
      </c>
      <c r="T61" s="190">
        <v>59619290</v>
      </c>
      <c r="U61" s="189"/>
    </row>
    <row r="62" spans="1:21" x14ac:dyDescent="0.25">
      <c r="A62" s="168" t="s">
        <v>300</v>
      </c>
      <c r="B62" s="190">
        <v>572655</v>
      </c>
      <c r="C62" s="190">
        <v>587141</v>
      </c>
      <c r="D62" s="190">
        <v>603069</v>
      </c>
      <c r="E62" s="190">
        <v>619231</v>
      </c>
      <c r="F62" s="190">
        <v>632944</v>
      </c>
      <c r="G62" s="190">
        <v>645399</v>
      </c>
      <c r="H62" s="190">
        <v>656333</v>
      </c>
      <c r="I62" s="190">
        <v>666313</v>
      </c>
      <c r="J62" s="190">
        <v>675215</v>
      </c>
      <c r="K62" s="190">
        <v>682862</v>
      </c>
      <c r="L62" s="190">
        <v>690497</v>
      </c>
      <c r="M62" s="190">
        <v>697549</v>
      </c>
      <c r="N62" s="190">
        <v>705539</v>
      </c>
      <c r="O62" s="190">
        <v>715137</v>
      </c>
      <c r="P62" s="190">
        <v>730367</v>
      </c>
      <c r="Q62" s="190">
        <v>749175</v>
      </c>
      <c r="R62" s="190">
        <v>766414</v>
      </c>
      <c r="S62" s="190">
        <v>778684</v>
      </c>
      <c r="T62" s="190">
        <v>789269</v>
      </c>
      <c r="U62" s="189"/>
    </row>
    <row r="63" spans="1:21" x14ac:dyDescent="0.25">
      <c r="A63" s="168" t="s">
        <v>301</v>
      </c>
      <c r="B63" s="190">
        <v>2668140</v>
      </c>
      <c r="C63" s="190">
        <v>2658161</v>
      </c>
      <c r="D63" s="190">
        <v>2643000</v>
      </c>
      <c r="E63" s="190">
        <v>2585675</v>
      </c>
      <c r="F63" s="190">
        <v>2540904</v>
      </c>
      <c r="G63" s="190">
        <v>2500580</v>
      </c>
      <c r="H63" s="190">
        <v>2469531</v>
      </c>
      <c r="I63" s="190">
        <v>2444912</v>
      </c>
      <c r="J63" s="190">
        <v>2420789</v>
      </c>
      <c r="K63" s="190">
        <v>2399248</v>
      </c>
      <c r="L63" s="190">
        <v>2381715</v>
      </c>
      <c r="M63" s="190">
        <v>2364254</v>
      </c>
      <c r="N63" s="190">
        <v>2345768</v>
      </c>
      <c r="O63" s="190">
        <v>2331480</v>
      </c>
      <c r="P63" s="190">
        <v>2319203</v>
      </c>
      <c r="Q63" s="190">
        <v>2306434</v>
      </c>
      <c r="R63" s="190">
        <v>2294590</v>
      </c>
      <c r="S63" s="190">
        <v>2281305</v>
      </c>
      <c r="T63" s="190">
        <v>2270894</v>
      </c>
      <c r="U63" s="189"/>
    </row>
    <row r="64" spans="1:21" x14ac:dyDescent="0.25">
      <c r="A64" s="168" t="s">
        <v>302</v>
      </c>
      <c r="B64" s="190">
        <v>3693708</v>
      </c>
      <c r="C64" s="190">
        <v>3701968</v>
      </c>
      <c r="D64" s="190">
        <v>3706299</v>
      </c>
      <c r="E64" s="190">
        <v>3693929</v>
      </c>
      <c r="F64" s="190">
        <v>3671296</v>
      </c>
      <c r="G64" s="190">
        <v>3642991</v>
      </c>
      <c r="H64" s="190">
        <v>3615212</v>
      </c>
      <c r="I64" s="190">
        <v>3588013</v>
      </c>
      <c r="J64" s="190">
        <v>3562261</v>
      </c>
      <c r="K64" s="190">
        <v>3536401</v>
      </c>
      <c r="L64" s="190">
        <v>3512074</v>
      </c>
      <c r="M64" s="190">
        <v>3486998</v>
      </c>
      <c r="N64" s="190">
        <v>3475586</v>
      </c>
      <c r="O64" s="190">
        <v>3462553</v>
      </c>
      <c r="P64" s="190">
        <v>3445857</v>
      </c>
      <c r="Q64" s="190">
        <v>3425324</v>
      </c>
      <c r="R64" s="190">
        <v>3403284</v>
      </c>
      <c r="S64" s="190">
        <v>3384879</v>
      </c>
      <c r="T64" s="190">
        <v>3366357</v>
      </c>
      <c r="U64" s="189"/>
    </row>
    <row r="65" spans="1:21" x14ac:dyDescent="0.25">
      <c r="A65" s="168" t="s">
        <v>303</v>
      </c>
      <c r="B65" s="190">
        <v>379300</v>
      </c>
      <c r="C65" s="190">
        <v>384400</v>
      </c>
      <c r="D65" s="190">
        <v>389600</v>
      </c>
      <c r="E65" s="190">
        <v>394750</v>
      </c>
      <c r="F65" s="190">
        <v>400200</v>
      </c>
      <c r="G65" s="190">
        <v>405650</v>
      </c>
      <c r="H65" s="190">
        <v>411600</v>
      </c>
      <c r="I65" s="190">
        <v>416850</v>
      </c>
      <c r="J65" s="190">
        <v>422050</v>
      </c>
      <c r="K65" s="190">
        <v>427350</v>
      </c>
      <c r="L65" s="190">
        <v>433600</v>
      </c>
      <c r="M65" s="190">
        <v>439000</v>
      </c>
      <c r="N65" s="190">
        <v>444050</v>
      </c>
      <c r="O65" s="190">
        <v>448300</v>
      </c>
      <c r="P65" s="190">
        <v>454960</v>
      </c>
      <c r="Q65" s="190">
        <v>461230</v>
      </c>
      <c r="R65" s="190">
        <v>469086</v>
      </c>
      <c r="S65" s="190">
        <v>476187</v>
      </c>
      <c r="T65" s="190">
        <v>483799</v>
      </c>
      <c r="U65" s="189"/>
    </row>
    <row r="66" spans="1:21" x14ac:dyDescent="0.25">
      <c r="A66" s="168" t="s">
        <v>304</v>
      </c>
      <c r="B66" s="190">
        <v>10374823</v>
      </c>
      <c r="C66" s="190">
        <v>10373153</v>
      </c>
      <c r="D66" s="190">
        <v>10373647</v>
      </c>
      <c r="E66" s="190">
        <v>10365035</v>
      </c>
      <c r="F66" s="190">
        <v>10350010</v>
      </c>
      <c r="G66" s="190">
        <v>10336700</v>
      </c>
      <c r="H66" s="190">
        <v>10321229</v>
      </c>
      <c r="I66" s="190">
        <v>10301247</v>
      </c>
      <c r="J66" s="190">
        <v>10279724</v>
      </c>
      <c r="K66" s="190">
        <v>10253416</v>
      </c>
      <c r="L66" s="190">
        <v>10221644</v>
      </c>
      <c r="M66" s="190">
        <v>10200298</v>
      </c>
      <c r="N66" s="190">
        <v>10174853</v>
      </c>
      <c r="O66" s="190">
        <v>10142362</v>
      </c>
      <c r="P66" s="190">
        <v>10116742</v>
      </c>
      <c r="Q66" s="190">
        <v>10097549</v>
      </c>
      <c r="R66" s="190">
        <v>10076581</v>
      </c>
      <c r="S66" s="190">
        <v>10066158</v>
      </c>
      <c r="T66" s="190">
        <v>10045401</v>
      </c>
      <c r="U66" s="189"/>
    </row>
    <row r="67" spans="1:21" x14ac:dyDescent="0.25">
      <c r="A67" s="168" t="s">
        <v>305</v>
      </c>
      <c r="B67" s="190">
        <v>352430</v>
      </c>
      <c r="C67" s="190">
        <v>355910</v>
      </c>
      <c r="D67" s="190">
        <v>359543</v>
      </c>
      <c r="E67" s="190">
        <v>362977</v>
      </c>
      <c r="F67" s="190">
        <v>366431</v>
      </c>
      <c r="G67" s="190">
        <v>369451</v>
      </c>
      <c r="H67" s="190">
        <v>371415</v>
      </c>
      <c r="I67" s="190">
        <v>373958</v>
      </c>
      <c r="J67" s="190">
        <v>376513</v>
      </c>
      <c r="K67" s="190">
        <v>378518</v>
      </c>
      <c r="L67" s="190">
        <v>380201</v>
      </c>
      <c r="M67" s="190">
        <v>391415</v>
      </c>
      <c r="N67" s="190">
        <v>394641</v>
      </c>
      <c r="O67" s="190">
        <v>397296</v>
      </c>
      <c r="P67" s="190">
        <v>399867</v>
      </c>
      <c r="Q67" s="190">
        <v>402668</v>
      </c>
      <c r="R67" s="190">
        <v>405006</v>
      </c>
      <c r="S67" s="190">
        <v>407810</v>
      </c>
      <c r="T67" s="190">
        <v>410290</v>
      </c>
      <c r="U67" s="189"/>
    </row>
    <row r="68" spans="1:21" x14ac:dyDescent="0.25">
      <c r="A68" s="168" t="s">
        <v>306</v>
      </c>
      <c r="B68" s="190">
        <v>14892574</v>
      </c>
      <c r="C68" s="190">
        <v>15010445</v>
      </c>
      <c r="D68" s="190">
        <v>15129150</v>
      </c>
      <c r="E68" s="190">
        <v>15239182</v>
      </c>
      <c r="F68" s="190">
        <v>15341553</v>
      </c>
      <c r="G68" s="190">
        <v>15424122</v>
      </c>
      <c r="H68" s="190">
        <v>15493889</v>
      </c>
      <c r="I68" s="190">
        <v>15567107</v>
      </c>
      <c r="J68" s="190">
        <v>15654192</v>
      </c>
      <c r="K68" s="190">
        <v>15760225</v>
      </c>
      <c r="L68" s="190">
        <v>15863950</v>
      </c>
      <c r="M68" s="190">
        <v>15987075</v>
      </c>
      <c r="N68" s="190">
        <v>16105285</v>
      </c>
      <c r="O68" s="190">
        <v>16192572</v>
      </c>
      <c r="P68" s="190">
        <v>16258032</v>
      </c>
      <c r="Q68" s="190">
        <v>16305526</v>
      </c>
      <c r="R68" s="190">
        <v>16334210</v>
      </c>
      <c r="S68" s="190">
        <v>16357992</v>
      </c>
      <c r="T68" s="190">
        <v>16405399</v>
      </c>
      <c r="U68" s="189"/>
    </row>
    <row r="69" spans="1:21" x14ac:dyDescent="0.25">
      <c r="A69" s="168" t="s">
        <v>307</v>
      </c>
      <c r="B69" s="190">
        <v>7644818</v>
      </c>
      <c r="C69" s="190">
        <v>7710882</v>
      </c>
      <c r="D69" s="190">
        <v>7798899</v>
      </c>
      <c r="E69" s="190">
        <v>7882519</v>
      </c>
      <c r="F69" s="190">
        <v>7928746</v>
      </c>
      <c r="G69" s="190">
        <v>7943489</v>
      </c>
      <c r="H69" s="190">
        <v>7953067</v>
      </c>
      <c r="I69" s="190">
        <v>7964966</v>
      </c>
      <c r="J69" s="190">
        <v>7971116</v>
      </c>
      <c r="K69" s="190">
        <v>7982461</v>
      </c>
      <c r="L69" s="190">
        <v>8002186</v>
      </c>
      <c r="M69" s="190">
        <v>8020946</v>
      </c>
      <c r="N69" s="190">
        <v>8063640</v>
      </c>
      <c r="O69" s="190">
        <v>8100273</v>
      </c>
      <c r="P69" s="190">
        <v>8142573</v>
      </c>
      <c r="Q69" s="190">
        <v>8201359</v>
      </c>
      <c r="R69" s="190">
        <v>8254298</v>
      </c>
      <c r="S69" s="190">
        <v>8282984</v>
      </c>
      <c r="T69" s="190">
        <v>8318592</v>
      </c>
      <c r="U69" s="189"/>
    </row>
    <row r="70" spans="1:21" x14ac:dyDescent="0.25">
      <c r="A70" s="168" t="s">
        <v>308</v>
      </c>
      <c r="B70" s="190">
        <v>38038403</v>
      </c>
      <c r="C70" s="190">
        <v>38183160</v>
      </c>
      <c r="D70" s="190">
        <v>38309226</v>
      </c>
      <c r="E70" s="190">
        <v>38418108</v>
      </c>
      <c r="F70" s="190">
        <v>38504707</v>
      </c>
      <c r="G70" s="190">
        <v>38580597</v>
      </c>
      <c r="H70" s="190">
        <v>38609399</v>
      </c>
      <c r="I70" s="190">
        <v>38639341</v>
      </c>
      <c r="J70" s="190">
        <v>38659979</v>
      </c>
      <c r="K70" s="190">
        <v>38666983</v>
      </c>
      <c r="L70" s="190">
        <v>38653559</v>
      </c>
      <c r="M70" s="190">
        <v>38253955</v>
      </c>
      <c r="N70" s="190">
        <v>38242197</v>
      </c>
      <c r="O70" s="190">
        <v>38218531</v>
      </c>
      <c r="P70" s="190">
        <v>38190608</v>
      </c>
      <c r="Q70" s="190">
        <v>38173835</v>
      </c>
      <c r="R70" s="190">
        <v>38157055</v>
      </c>
      <c r="S70" s="190">
        <v>38125479</v>
      </c>
      <c r="T70" s="190">
        <v>38115641</v>
      </c>
      <c r="U70" s="189"/>
    </row>
    <row r="71" spans="1:21" x14ac:dyDescent="0.25">
      <c r="A71" s="168" t="s">
        <v>309</v>
      </c>
      <c r="B71" s="190">
        <v>9995995</v>
      </c>
      <c r="C71" s="190">
        <v>9970441</v>
      </c>
      <c r="D71" s="190">
        <v>9965315</v>
      </c>
      <c r="E71" s="190">
        <v>9974591</v>
      </c>
      <c r="F71" s="190">
        <v>9990590</v>
      </c>
      <c r="G71" s="190">
        <v>10017571</v>
      </c>
      <c r="H71" s="190">
        <v>10043180</v>
      </c>
      <c r="I71" s="190">
        <v>10072542</v>
      </c>
      <c r="J71" s="190">
        <v>10109697</v>
      </c>
      <c r="K71" s="190">
        <v>10148883</v>
      </c>
      <c r="L71" s="190">
        <v>10195014</v>
      </c>
      <c r="M71" s="190">
        <v>10256658</v>
      </c>
      <c r="N71" s="190">
        <v>10329340</v>
      </c>
      <c r="O71" s="190">
        <v>10407465</v>
      </c>
      <c r="P71" s="190">
        <v>10474685</v>
      </c>
      <c r="Q71" s="190">
        <v>10529255</v>
      </c>
      <c r="R71" s="190">
        <v>10569592</v>
      </c>
      <c r="S71" s="190">
        <v>10599095</v>
      </c>
      <c r="T71" s="190">
        <v>10617575</v>
      </c>
      <c r="U71" s="189"/>
    </row>
    <row r="72" spans="1:21" x14ac:dyDescent="0.25">
      <c r="A72" s="168" t="s">
        <v>310</v>
      </c>
      <c r="B72" s="190">
        <v>23211395</v>
      </c>
      <c r="C72" s="190">
        <v>23192274</v>
      </c>
      <c r="D72" s="190">
        <v>22810035</v>
      </c>
      <c r="E72" s="190">
        <v>22778533</v>
      </c>
      <c r="F72" s="190">
        <v>22748027</v>
      </c>
      <c r="G72" s="190">
        <v>22712394</v>
      </c>
      <c r="H72" s="190">
        <v>22656145</v>
      </c>
      <c r="I72" s="190">
        <v>22581862</v>
      </c>
      <c r="J72" s="190">
        <v>22526093</v>
      </c>
      <c r="K72" s="190">
        <v>22488595</v>
      </c>
      <c r="L72" s="190">
        <v>22455485</v>
      </c>
      <c r="M72" s="190">
        <v>22430457</v>
      </c>
      <c r="N72" s="190">
        <v>21833483</v>
      </c>
      <c r="O72" s="190">
        <v>21772774</v>
      </c>
      <c r="P72" s="190">
        <v>21711252</v>
      </c>
      <c r="Q72" s="190">
        <v>21658528</v>
      </c>
      <c r="R72" s="190">
        <v>21610213</v>
      </c>
      <c r="S72" s="190">
        <v>21565119</v>
      </c>
      <c r="T72" s="190">
        <v>21528627</v>
      </c>
      <c r="U72" s="189"/>
    </row>
    <row r="73" spans="1:21" x14ac:dyDescent="0.25">
      <c r="A73" s="168" t="s">
        <v>311</v>
      </c>
      <c r="B73" s="190">
        <v>1996377</v>
      </c>
      <c r="C73" s="190">
        <v>1999945</v>
      </c>
      <c r="D73" s="190">
        <v>1998912</v>
      </c>
      <c r="E73" s="190">
        <v>1994084</v>
      </c>
      <c r="F73" s="190">
        <v>1989408</v>
      </c>
      <c r="G73" s="190">
        <v>1989477</v>
      </c>
      <c r="H73" s="190">
        <v>1990266</v>
      </c>
      <c r="I73" s="190">
        <v>1986989</v>
      </c>
      <c r="J73" s="190">
        <v>1984923</v>
      </c>
      <c r="K73" s="190">
        <v>1978334</v>
      </c>
      <c r="L73" s="190">
        <v>1987755</v>
      </c>
      <c r="M73" s="190">
        <v>1990094</v>
      </c>
      <c r="N73" s="190">
        <v>1994026</v>
      </c>
      <c r="O73" s="190">
        <v>1995033</v>
      </c>
      <c r="P73" s="190">
        <v>1996433</v>
      </c>
      <c r="Q73" s="190">
        <v>1997590</v>
      </c>
      <c r="R73" s="190">
        <v>2003358</v>
      </c>
      <c r="S73" s="190">
        <v>2010377</v>
      </c>
      <c r="T73" s="190">
        <v>2010269</v>
      </c>
      <c r="U73" s="189"/>
    </row>
    <row r="74" spans="1:21" x14ac:dyDescent="0.25">
      <c r="A74" s="168" t="s">
        <v>312</v>
      </c>
      <c r="B74" s="190">
        <v>5287663</v>
      </c>
      <c r="C74" s="190">
        <v>5310711</v>
      </c>
      <c r="D74" s="190">
        <v>5295877</v>
      </c>
      <c r="E74" s="190">
        <v>5314155</v>
      </c>
      <c r="F74" s="190">
        <v>5336455</v>
      </c>
      <c r="G74" s="190">
        <v>5356207</v>
      </c>
      <c r="H74" s="190">
        <v>5367790</v>
      </c>
      <c r="I74" s="190">
        <v>5378932</v>
      </c>
      <c r="J74" s="190">
        <v>5387650</v>
      </c>
      <c r="K74" s="190">
        <v>5393382</v>
      </c>
      <c r="L74" s="190">
        <v>5398657</v>
      </c>
      <c r="M74" s="190">
        <v>5378783</v>
      </c>
      <c r="N74" s="190">
        <v>5378951</v>
      </c>
      <c r="O74" s="190">
        <v>5379161</v>
      </c>
      <c r="P74" s="190">
        <v>5380053</v>
      </c>
      <c r="Q74" s="190">
        <v>5384822</v>
      </c>
      <c r="R74" s="190">
        <v>5389180</v>
      </c>
      <c r="S74" s="190">
        <v>5393637</v>
      </c>
      <c r="T74" s="190">
        <v>5400998</v>
      </c>
      <c r="U74" s="189"/>
    </row>
    <row r="75" spans="1:21" x14ac:dyDescent="0.25">
      <c r="A75" s="168" t="s">
        <v>313</v>
      </c>
      <c r="B75" s="190">
        <v>4974383</v>
      </c>
      <c r="C75" s="190">
        <v>4998478</v>
      </c>
      <c r="D75" s="190">
        <v>5029002</v>
      </c>
      <c r="E75" s="190">
        <v>5054982</v>
      </c>
      <c r="F75" s="190">
        <v>5077912</v>
      </c>
      <c r="G75" s="190">
        <v>5098754</v>
      </c>
      <c r="H75" s="190">
        <v>5116826</v>
      </c>
      <c r="I75" s="190">
        <v>5132320</v>
      </c>
      <c r="J75" s="190">
        <v>5147349</v>
      </c>
      <c r="K75" s="190">
        <v>5159646</v>
      </c>
      <c r="L75" s="190">
        <v>5171302</v>
      </c>
      <c r="M75" s="190">
        <v>5181115</v>
      </c>
      <c r="N75" s="190">
        <v>5194901</v>
      </c>
      <c r="O75" s="190">
        <v>5206295</v>
      </c>
      <c r="P75" s="190">
        <v>5219732</v>
      </c>
      <c r="Q75" s="190">
        <v>5236611</v>
      </c>
      <c r="R75" s="190">
        <v>5255580</v>
      </c>
      <c r="S75" s="190">
        <v>5276955</v>
      </c>
      <c r="T75" s="190">
        <v>5300484</v>
      </c>
      <c r="U75" s="189"/>
    </row>
    <row r="76" spans="1:21" x14ac:dyDescent="0.25">
      <c r="A76" s="168" t="s">
        <v>314</v>
      </c>
      <c r="B76" s="190">
        <v>8527039</v>
      </c>
      <c r="C76" s="190">
        <v>8590630</v>
      </c>
      <c r="D76" s="190">
        <v>8644120</v>
      </c>
      <c r="E76" s="190">
        <v>8692013</v>
      </c>
      <c r="F76" s="190">
        <v>8745109</v>
      </c>
      <c r="G76" s="190">
        <v>8816381</v>
      </c>
      <c r="H76" s="190">
        <v>8837496</v>
      </c>
      <c r="I76" s="190">
        <v>8844499</v>
      </c>
      <c r="J76" s="190">
        <v>8847625</v>
      </c>
      <c r="K76" s="190">
        <v>8854322</v>
      </c>
      <c r="L76" s="190">
        <v>8861426</v>
      </c>
      <c r="M76" s="190">
        <v>8882792</v>
      </c>
      <c r="N76" s="190">
        <v>8909128</v>
      </c>
      <c r="O76" s="190">
        <v>8940788</v>
      </c>
      <c r="P76" s="190">
        <v>8975670</v>
      </c>
      <c r="Q76" s="190">
        <v>9011392</v>
      </c>
      <c r="R76" s="190">
        <v>9047752</v>
      </c>
      <c r="S76" s="190">
        <v>9113257</v>
      </c>
      <c r="T76" s="190">
        <v>9182927</v>
      </c>
      <c r="U76" s="189"/>
    </row>
    <row r="77" spans="1:21" x14ac:dyDescent="0.25">
      <c r="A77" s="168" t="s">
        <v>315</v>
      </c>
      <c r="B77" s="190">
        <v>57156972</v>
      </c>
      <c r="C77" s="190">
        <v>57338199</v>
      </c>
      <c r="D77" s="190">
        <v>57511594</v>
      </c>
      <c r="E77" s="190">
        <v>57649210</v>
      </c>
      <c r="F77" s="190">
        <v>57788017</v>
      </c>
      <c r="G77" s="190">
        <v>57943472</v>
      </c>
      <c r="H77" s="190">
        <v>58094587</v>
      </c>
      <c r="I77" s="190">
        <v>58239312</v>
      </c>
      <c r="J77" s="190">
        <v>58394596</v>
      </c>
      <c r="K77" s="190">
        <v>58579685</v>
      </c>
      <c r="L77" s="190">
        <v>58785246</v>
      </c>
      <c r="M77" s="190">
        <v>58999781</v>
      </c>
      <c r="N77" s="190">
        <v>59217592</v>
      </c>
      <c r="O77" s="190">
        <v>59437723</v>
      </c>
      <c r="P77" s="190">
        <v>59699828</v>
      </c>
      <c r="Q77" s="190">
        <v>60059900</v>
      </c>
      <c r="R77" s="190">
        <v>60425786</v>
      </c>
      <c r="S77" s="190">
        <v>60781352</v>
      </c>
      <c r="T77" s="190">
        <v>61179256</v>
      </c>
      <c r="U77" s="189"/>
    </row>
    <row r="78" spans="1:21" x14ac:dyDescent="0.25">
      <c r="A78" s="168" t="s">
        <v>316</v>
      </c>
      <c r="B78" s="190">
        <v>4772556</v>
      </c>
      <c r="C78" s="190">
        <v>4782179</v>
      </c>
      <c r="D78" s="190">
        <v>4595866</v>
      </c>
      <c r="E78" s="190">
        <v>4555771</v>
      </c>
      <c r="F78" s="190">
        <v>4645155</v>
      </c>
      <c r="G78" s="190">
        <v>4658893</v>
      </c>
      <c r="H78" s="190">
        <v>4581167</v>
      </c>
      <c r="I78" s="190">
        <v>4533028</v>
      </c>
      <c r="J78" s="190">
        <v>4536812</v>
      </c>
      <c r="K78" s="190">
        <v>4527459</v>
      </c>
      <c r="L78" s="190">
        <v>4497735</v>
      </c>
      <c r="M78" s="190">
        <v>4438868</v>
      </c>
      <c r="N78" s="190">
        <v>4444608</v>
      </c>
      <c r="O78" s="190">
        <v>4442744</v>
      </c>
      <c r="P78" s="190">
        <v>4441733</v>
      </c>
      <c r="Q78" s="190">
        <v>4443901</v>
      </c>
      <c r="R78" s="190">
        <v>4442884</v>
      </c>
      <c r="S78" s="190">
        <v>4441238</v>
      </c>
      <c r="T78" s="190">
        <v>4436401</v>
      </c>
      <c r="U78" s="189"/>
    </row>
    <row r="79" spans="1:21" x14ac:dyDescent="0.25">
      <c r="A79" s="168" t="s">
        <v>317</v>
      </c>
      <c r="B79" s="190">
        <v>55494711</v>
      </c>
      <c r="C79" s="190">
        <v>56714051</v>
      </c>
      <c r="D79" s="190">
        <v>57835076</v>
      </c>
      <c r="E79" s="190">
        <v>58958565</v>
      </c>
      <c r="F79" s="190">
        <v>60079060</v>
      </c>
      <c r="G79" s="190">
        <v>61203584</v>
      </c>
      <c r="H79" s="190">
        <v>62337617</v>
      </c>
      <c r="I79" s="190">
        <v>63484661</v>
      </c>
      <c r="J79" s="190">
        <v>64641675</v>
      </c>
      <c r="K79" s="190">
        <v>65786563</v>
      </c>
      <c r="L79" s="190">
        <v>66889425</v>
      </c>
      <c r="M79" s="190">
        <v>67895581</v>
      </c>
      <c r="N79" s="190">
        <v>68838069</v>
      </c>
      <c r="O79" s="190">
        <v>69770026</v>
      </c>
      <c r="P79" s="190">
        <v>70692009</v>
      </c>
      <c r="Q79" s="190">
        <v>71610009</v>
      </c>
      <c r="R79" s="190">
        <v>72519974</v>
      </c>
      <c r="S79" s="190">
        <v>69689256</v>
      </c>
      <c r="T79" s="190">
        <v>70586256</v>
      </c>
      <c r="U79" s="189"/>
    </row>
    <row r="80" spans="1:21" x14ac:dyDescent="0.25">
      <c r="A80" s="168" t="s">
        <v>318</v>
      </c>
      <c r="B80" s="190">
        <v>253785</v>
      </c>
      <c r="C80" s="190">
        <v>255866</v>
      </c>
      <c r="D80" s="190">
        <v>259727</v>
      </c>
      <c r="E80" s="190">
        <v>262386</v>
      </c>
      <c r="F80" s="190">
        <v>265064</v>
      </c>
      <c r="G80" s="190">
        <v>266978</v>
      </c>
      <c r="H80" s="190">
        <v>267958</v>
      </c>
      <c r="I80" s="190">
        <v>269874</v>
      </c>
      <c r="J80" s="190">
        <v>272381</v>
      </c>
      <c r="K80" s="190">
        <v>275712</v>
      </c>
      <c r="L80" s="190">
        <v>279049</v>
      </c>
      <c r="M80" s="190">
        <v>283361</v>
      </c>
      <c r="N80" s="190">
        <v>286575</v>
      </c>
      <c r="O80" s="190">
        <v>288471</v>
      </c>
      <c r="P80" s="190">
        <v>290570</v>
      </c>
      <c r="Q80" s="190">
        <v>293577</v>
      </c>
      <c r="R80" s="190">
        <v>299891</v>
      </c>
      <c r="S80" s="190">
        <v>307672</v>
      </c>
      <c r="T80" s="190">
        <v>315459</v>
      </c>
      <c r="U80" s="189"/>
    </row>
    <row r="81" spans="1:28" x14ac:dyDescent="0.25">
      <c r="A81" s="168" t="s">
        <v>319</v>
      </c>
      <c r="B81" s="190">
        <v>4233116</v>
      </c>
      <c r="C81" s="190">
        <v>4249830</v>
      </c>
      <c r="D81" s="190">
        <v>4273634</v>
      </c>
      <c r="E81" s="190">
        <v>4299167</v>
      </c>
      <c r="F81" s="190">
        <v>4324815</v>
      </c>
      <c r="G81" s="190">
        <v>4348410</v>
      </c>
      <c r="H81" s="190">
        <v>4369957</v>
      </c>
      <c r="I81" s="190">
        <v>4392714</v>
      </c>
      <c r="J81" s="190">
        <v>4417599</v>
      </c>
      <c r="K81" s="190">
        <v>4445329</v>
      </c>
      <c r="L81" s="190">
        <v>4478497</v>
      </c>
      <c r="M81" s="190">
        <v>4503436</v>
      </c>
      <c r="N81" s="190">
        <v>4524066</v>
      </c>
      <c r="O81" s="190">
        <v>4552252</v>
      </c>
      <c r="P81" s="190">
        <v>4577457</v>
      </c>
      <c r="Q81" s="190">
        <v>4606363</v>
      </c>
      <c r="R81" s="190">
        <v>4640219</v>
      </c>
      <c r="S81" s="190">
        <v>4681134</v>
      </c>
      <c r="T81" s="190">
        <v>4737171</v>
      </c>
      <c r="U81" s="189"/>
    </row>
    <row r="82" spans="1:28" x14ac:dyDescent="0.25">
      <c r="A82" s="168" t="s">
        <v>320</v>
      </c>
      <c r="B82" s="190">
        <v>6673850</v>
      </c>
      <c r="C82" s="190">
        <v>6757188</v>
      </c>
      <c r="D82" s="190">
        <v>6842768</v>
      </c>
      <c r="E82" s="190">
        <v>6907959</v>
      </c>
      <c r="F82" s="190">
        <v>6968570</v>
      </c>
      <c r="G82" s="190">
        <v>7019019</v>
      </c>
      <c r="H82" s="190">
        <v>7062354</v>
      </c>
      <c r="I82" s="190">
        <v>7081346</v>
      </c>
      <c r="J82" s="190">
        <v>7096465</v>
      </c>
      <c r="K82" s="190">
        <v>7123537</v>
      </c>
      <c r="L82" s="190">
        <v>7164444</v>
      </c>
      <c r="M82" s="190">
        <v>7204055</v>
      </c>
      <c r="N82" s="190">
        <v>7255653</v>
      </c>
      <c r="O82" s="190">
        <v>7313853</v>
      </c>
      <c r="P82" s="190">
        <v>7364148</v>
      </c>
      <c r="Q82" s="190">
        <v>7415102</v>
      </c>
      <c r="R82" s="190">
        <v>7459128</v>
      </c>
      <c r="S82" s="190">
        <v>7508739</v>
      </c>
      <c r="T82" s="190">
        <v>7593494</v>
      </c>
      <c r="U82" s="189"/>
    </row>
    <row r="83" spans="1:28" x14ac:dyDescent="0.25">
      <c r="A83" s="193" t="s">
        <v>20</v>
      </c>
      <c r="B83" s="189">
        <f t="shared" ref="B83:S83" si="5">SUM(B51:B82)-B78</f>
        <v>538391874.33437729</v>
      </c>
      <c r="C83" s="189">
        <f t="shared" si="5"/>
        <v>541417148</v>
      </c>
      <c r="D83" s="189">
        <f t="shared" si="5"/>
        <v>543948533</v>
      </c>
      <c r="E83" s="189">
        <f t="shared" si="5"/>
        <v>546821050</v>
      </c>
      <c r="F83" s="189">
        <f t="shared" si="5"/>
        <v>549243607</v>
      </c>
      <c r="G83" s="189">
        <f t="shared" si="5"/>
        <v>551410113</v>
      </c>
      <c r="H83" s="189">
        <f t="shared" si="5"/>
        <v>553479863</v>
      </c>
      <c r="I83" s="189">
        <f t="shared" si="5"/>
        <v>555469128</v>
      </c>
      <c r="J83" s="189">
        <f t="shared" si="5"/>
        <v>557348385</v>
      </c>
      <c r="K83" s="189">
        <f t="shared" si="5"/>
        <v>559249093</v>
      </c>
      <c r="L83" s="189">
        <f t="shared" si="5"/>
        <v>561579125</v>
      </c>
      <c r="M83" s="189">
        <f t="shared" si="5"/>
        <v>563683651</v>
      </c>
      <c r="N83" s="189">
        <f t="shared" si="5"/>
        <v>565541110</v>
      </c>
      <c r="O83" s="189">
        <f t="shared" si="5"/>
        <v>568572433</v>
      </c>
      <c r="P83" s="189">
        <f t="shared" si="5"/>
        <v>571723785</v>
      </c>
      <c r="Q83" s="189">
        <f t="shared" si="5"/>
        <v>575078695</v>
      </c>
      <c r="R83" s="189">
        <f t="shared" si="5"/>
        <v>578146148</v>
      </c>
      <c r="S83" s="189">
        <f t="shared" si="5"/>
        <v>577456876</v>
      </c>
      <c r="T83" s="189">
        <f>SUM(T51:T82)-T78</f>
        <v>580881505</v>
      </c>
      <c r="U83" s="189"/>
    </row>
    <row r="84" spans="1:28" ht="18.75" x14ac:dyDescent="0.3">
      <c r="B84" s="194"/>
      <c r="C84" s="177"/>
      <c r="D84" s="177"/>
      <c r="E84" s="177"/>
      <c r="F84" s="177"/>
      <c r="G84" s="177"/>
      <c r="H84" s="177"/>
      <c r="I84" s="177"/>
      <c r="J84" s="177"/>
      <c r="K84" s="177"/>
      <c r="L84" s="177"/>
      <c r="M84" s="177"/>
      <c r="N84" s="177"/>
      <c r="O84" s="177"/>
      <c r="P84" s="177"/>
      <c r="Q84" s="177"/>
      <c r="R84" s="177"/>
      <c r="S84" s="177"/>
      <c r="T84" s="177"/>
      <c r="U84" s="177"/>
    </row>
    <row r="85" spans="1:28" ht="18.75" x14ac:dyDescent="0.3">
      <c r="A85" s="195" t="s">
        <v>329</v>
      </c>
      <c r="C85" s="179"/>
      <c r="D85" s="179"/>
      <c r="E85" s="179"/>
      <c r="F85" s="179"/>
      <c r="G85" s="179"/>
      <c r="H85" s="179"/>
      <c r="I85" s="179"/>
      <c r="J85" s="179"/>
      <c r="K85" s="179"/>
      <c r="L85" s="179"/>
      <c r="M85" s="179"/>
      <c r="N85" s="179"/>
      <c r="O85" s="179"/>
      <c r="P85" s="179"/>
      <c r="Q85" s="179"/>
      <c r="R85" s="179"/>
      <c r="S85" s="179"/>
    </row>
    <row r="86" spans="1:28" ht="60" x14ac:dyDescent="0.25">
      <c r="B86" s="177">
        <f t="shared" ref="B86:Q86" si="6">C86-1</f>
        <v>1990</v>
      </c>
      <c r="C86" s="177">
        <f t="shared" si="6"/>
        <v>1991</v>
      </c>
      <c r="D86" s="177">
        <f t="shared" si="6"/>
        <v>1992</v>
      </c>
      <c r="E86" s="177">
        <f t="shared" si="6"/>
        <v>1993</v>
      </c>
      <c r="F86" s="177">
        <f t="shared" si="6"/>
        <v>1994</v>
      </c>
      <c r="G86" s="177">
        <f t="shared" si="6"/>
        <v>1995</v>
      </c>
      <c r="H86" s="177">
        <f t="shared" si="6"/>
        <v>1996</v>
      </c>
      <c r="I86" s="177">
        <f t="shared" si="6"/>
        <v>1997</v>
      </c>
      <c r="J86" s="177">
        <f t="shared" si="6"/>
        <v>1998</v>
      </c>
      <c r="K86" s="177">
        <f t="shared" si="6"/>
        <v>1999</v>
      </c>
      <c r="L86" s="177">
        <f t="shared" si="6"/>
        <v>2000</v>
      </c>
      <c r="M86" s="177">
        <f t="shared" si="6"/>
        <v>2001</v>
      </c>
      <c r="N86" s="177">
        <f t="shared" si="6"/>
        <v>2002</v>
      </c>
      <c r="O86" s="177">
        <f t="shared" si="6"/>
        <v>2003</v>
      </c>
      <c r="P86" s="177">
        <f t="shared" si="6"/>
        <v>2004</v>
      </c>
      <c r="Q86" s="177">
        <f t="shared" si="6"/>
        <v>2005</v>
      </c>
      <c r="R86" s="177">
        <f>S86-1</f>
        <v>2006</v>
      </c>
      <c r="S86" s="177">
        <v>2007</v>
      </c>
      <c r="T86" s="177">
        <v>2008</v>
      </c>
      <c r="V86" s="196" t="s">
        <v>330</v>
      </c>
      <c r="W86" s="173" t="s">
        <v>331</v>
      </c>
      <c r="X86" s="173" t="s">
        <v>332</v>
      </c>
      <c r="Y86" s="173" t="s">
        <v>333</v>
      </c>
      <c r="Z86" s="173" t="s">
        <v>334</v>
      </c>
      <c r="AB86" s="173" t="s">
        <v>335</v>
      </c>
    </row>
    <row r="87" spans="1:28" x14ac:dyDescent="0.25">
      <c r="A87" s="168" t="s">
        <v>286</v>
      </c>
      <c r="B87" s="197">
        <f t="shared" ref="B87:S87" si="7">B3/B48*1000</f>
        <v>0.59822713461843147</v>
      </c>
      <c r="C87" s="197">
        <f t="shared" si="7"/>
        <v>0.59907099310781897</v>
      </c>
      <c r="D87" s="197">
        <f t="shared" si="7"/>
        <v>0.61585906995224293</v>
      </c>
      <c r="E87" s="197">
        <f t="shared" si="7"/>
        <v>0.62414161181228278</v>
      </c>
      <c r="F87" s="197">
        <f t="shared" si="7"/>
        <v>0.62576934321143751</v>
      </c>
      <c r="G87" s="197">
        <f t="shared" si="7"/>
        <v>0.63286577858180182</v>
      </c>
      <c r="H87" s="197">
        <f t="shared" si="7"/>
        <v>0.65544481311436409</v>
      </c>
      <c r="I87" s="197">
        <f t="shared" si="7"/>
        <v>0.66744226202291279</v>
      </c>
      <c r="J87" s="197">
        <f t="shared" si="7"/>
        <v>0.68667723952119175</v>
      </c>
      <c r="K87" s="197">
        <f t="shared" si="7"/>
        <v>0.70381720322584651</v>
      </c>
      <c r="L87" s="197">
        <f t="shared" si="7"/>
        <v>0.70635005808487072</v>
      </c>
      <c r="M87" s="197">
        <f t="shared" si="7"/>
        <v>0.71144683597581171</v>
      </c>
      <c r="N87" s="197">
        <f t="shared" si="7"/>
        <v>0.71731250705180227</v>
      </c>
      <c r="O87" s="197">
        <f t="shared" si="7"/>
        <v>0.72425474346766372</v>
      </c>
      <c r="P87" s="197">
        <f t="shared" si="7"/>
        <v>0.74085780606027951</v>
      </c>
      <c r="Q87" s="197">
        <f t="shared" si="7"/>
        <v>0.74255989842559333</v>
      </c>
      <c r="R87" s="197">
        <f t="shared" si="7"/>
        <v>0.75460396185661693</v>
      </c>
      <c r="S87" s="197">
        <f t="shared" si="7"/>
        <v>0.76079522198004434</v>
      </c>
      <c r="T87" s="198">
        <f>T3/T48*1000</f>
        <v>0.75207961057335493</v>
      </c>
      <c r="U87" s="197" t="str">
        <f>+A87</f>
        <v>European Union (27 countries)</v>
      </c>
      <c r="V87" s="199">
        <f>T87/B87-1</f>
        <v>0.25718070453801056</v>
      </c>
      <c r="W87" s="200">
        <f>((K87/B87)^(1/9))-1</f>
        <v>1.8224991453908101E-2</v>
      </c>
      <c r="X87" s="200">
        <f>((T87/K87)^(1/9))-1</f>
        <v>7.3964994671209539E-3</v>
      </c>
      <c r="Y87" s="201">
        <f>((T87/B87)^(1/18))-1</f>
        <v>1.2796273719747786E-2</v>
      </c>
      <c r="Z87" s="202">
        <f>T87/S87-1</f>
        <v>-1.1455922901311366E-2</v>
      </c>
      <c r="AB87" s="203">
        <f>Y87/X87</f>
        <v>1.7300445672483316</v>
      </c>
    </row>
    <row r="88" spans="1:28" x14ac:dyDescent="0.25">
      <c r="A88" s="168" t="s">
        <v>289</v>
      </c>
      <c r="B88" s="197">
        <f t="shared" ref="B88:T101" si="8">B6/B51*1000</f>
        <v>0.77705763958237128</v>
      </c>
      <c r="C88" s="197">
        <f t="shared" si="8"/>
        <v>0.78752575229236077</v>
      </c>
      <c r="D88" s="197">
        <f t="shared" si="8"/>
        <v>0.82927584193050541</v>
      </c>
      <c r="E88" s="197">
        <f t="shared" si="8"/>
        <v>0.83241303736999195</v>
      </c>
      <c r="F88" s="197">
        <f t="shared" si="8"/>
        <v>0.84291763554177956</v>
      </c>
      <c r="G88" s="197">
        <f t="shared" si="8"/>
        <v>0.84013008542260292</v>
      </c>
      <c r="H88" s="197">
        <f t="shared" si="8"/>
        <v>0.88030746579405572</v>
      </c>
      <c r="I88" s="197">
        <f t="shared" si="8"/>
        <v>0.90745279406770307</v>
      </c>
      <c r="J88" s="197">
        <f t="shared" si="8"/>
        <v>0.94267573916845171</v>
      </c>
      <c r="K88" s="197">
        <f t="shared" si="8"/>
        <v>0.9431401898146734</v>
      </c>
      <c r="L88" s="197">
        <f t="shared" si="8"/>
        <v>0.94832692569697397</v>
      </c>
      <c r="M88" s="197">
        <f t="shared" si="8"/>
        <v>0.9248384601848858</v>
      </c>
      <c r="N88" s="197">
        <f t="shared" si="8"/>
        <v>0.93639743058132008</v>
      </c>
      <c r="O88" s="197">
        <f t="shared" si="8"/>
        <v>0.98273013768843942</v>
      </c>
      <c r="P88" s="197">
        <f t="shared" si="8"/>
        <v>0.98562765013075171</v>
      </c>
      <c r="Q88" s="197">
        <f t="shared" si="8"/>
        <v>0.95023364298096513</v>
      </c>
      <c r="R88" s="197">
        <f t="shared" si="8"/>
        <v>0.91453245634113567</v>
      </c>
      <c r="S88" s="197">
        <f t="shared" si="8"/>
        <v>0.90594446576486032</v>
      </c>
      <c r="T88" s="197">
        <f t="shared" si="8"/>
        <v>1.0525115811898265</v>
      </c>
      <c r="U88" s="197" t="str">
        <f t="shared" ref="U88:U121" si="9">+A88</f>
        <v>Belgium</v>
      </c>
      <c r="V88" s="204">
        <f t="shared" ref="V88:V118" si="10">T88/B88-1</f>
        <v>0.35448328100280646</v>
      </c>
      <c r="W88" s="179">
        <f t="shared" ref="W88:W119" si="11">((K88/B88)^(1/9))-1</f>
        <v>2.1755541786444788E-2</v>
      </c>
      <c r="X88" s="179">
        <f t="shared" ref="X88:X119" si="12">((T88/K88)^(1/9))-1</f>
        <v>1.2265684418357958E-2</v>
      </c>
      <c r="Y88" s="179">
        <f t="shared" ref="Y88:Y119" si="13">((T88/B88)^(1/18))-1</f>
        <v>1.6999544156586888E-2</v>
      </c>
      <c r="Z88" s="205">
        <f t="shared" ref="Z88:Z121" si="14">T88/S88-1</f>
        <v>0.16178377479377182</v>
      </c>
      <c r="AB88" s="203">
        <f t="shared" ref="AB88:AB119" si="15">Y88/X88</f>
        <v>1.3859433829182657</v>
      </c>
    </row>
    <row r="89" spans="1:28" x14ac:dyDescent="0.25">
      <c r="A89" s="168" t="s">
        <v>290</v>
      </c>
      <c r="B89" s="197">
        <f t="shared" si="8"/>
        <v>0.28777362446944948</v>
      </c>
      <c r="C89" s="197">
        <f t="shared" si="8"/>
        <v>0.17360171889925208</v>
      </c>
      <c r="D89" s="197">
        <f t="shared" si="8"/>
        <v>0.22186117912178108</v>
      </c>
      <c r="E89" s="197">
        <f t="shared" si="8"/>
        <v>0.26788882743304165</v>
      </c>
      <c r="F89" s="197">
        <f t="shared" si="8"/>
        <v>0.23168497746331665</v>
      </c>
      <c r="G89" s="197">
        <f t="shared" si="8"/>
        <v>0.23494740619250168</v>
      </c>
      <c r="H89" s="197">
        <f t="shared" si="8"/>
        <v>0.21849281698900916</v>
      </c>
      <c r="I89" s="197">
        <f t="shared" si="8"/>
        <v>0.20033722833984099</v>
      </c>
      <c r="J89" s="197">
        <f t="shared" si="8"/>
        <v>0.23143229669692872</v>
      </c>
      <c r="K89" s="197">
        <f t="shared" si="8"/>
        <v>0.23668434873713468</v>
      </c>
      <c r="L89" s="197">
        <f t="shared" si="8"/>
        <v>0.22256471713159862</v>
      </c>
      <c r="M89" s="197">
        <f t="shared" si="8"/>
        <v>0.23608903059684386</v>
      </c>
      <c r="N89" s="197">
        <f t="shared" si="8"/>
        <v>0.25674510318276483</v>
      </c>
      <c r="O89" s="197">
        <f t="shared" si="8"/>
        <v>0.29200183893606813</v>
      </c>
      <c r="P89" s="197">
        <f t="shared" si="8"/>
        <v>0.30430930951910029</v>
      </c>
      <c r="Q89" s="197">
        <f t="shared" si="8"/>
        <v>0.33114080325997169</v>
      </c>
      <c r="R89" s="197">
        <f t="shared" si="8"/>
        <v>0.35912550607287447</v>
      </c>
      <c r="S89" s="197">
        <f t="shared" si="8"/>
        <v>0.3502928005062968</v>
      </c>
      <c r="T89" s="197">
        <f t="shared" si="8"/>
        <v>0.37184705502629634</v>
      </c>
      <c r="U89" s="197" t="str">
        <f t="shared" si="9"/>
        <v>Bulgaria</v>
      </c>
      <c r="V89" s="204">
        <f t="shared" si="10"/>
        <v>0.29215127241715733</v>
      </c>
      <c r="W89" s="179">
        <f t="shared" si="11"/>
        <v>-2.1482204624463042E-2</v>
      </c>
      <c r="X89" s="179">
        <f t="shared" si="12"/>
        <v>5.1476141774550177E-2</v>
      </c>
      <c r="Y89" s="179">
        <f t="shared" si="13"/>
        <v>1.4341222734838954E-2</v>
      </c>
      <c r="Z89" s="205">
        <f t="shared" si="14"/>
        <v>6.153210825014388E-2</v>
      </c>
      <c r="AB89" s="206">
        <f t="shared" si="15"/>
        <v>0.27859941014322986</v>
      </c>
    </row>
    <row r="90" spans="1:28" x14ac:dyDescent="0.25">
      <c r="A90" s="168" t="s">
        <v>291</v>
      </c>
      <c r="B90" s="197">
        <f t="shared" si="8"/>
        <v>0.27137351089576228</v>
      </c>
      <c r="C90" s="197">
        <f t="shared" si="8"/>
        <v>0.23513754575987225</v>
      </c>
      <c r="D90" s="197">
        <f t="shared" si="8"/>
        <v>0.29100470611142853</v>
      </c>
      <c r="E90" s="197">
        <f t="shared" si="8"/>
        <v>0.28947198431253601</v>
      </c>
      <c r="F90" s="197">
        <f t="shared" si="8"/>
        <v>0.31507605032043212</v>
      </c>
      <c r="G90" s="197">
        <f t="shared" si="8"/>
        <v>0.27639170627458526</v>
      </c>
      <c r="H90" s="197">
        <f t="shared" si="8"/>
        <v>0.3617745905959534</v>
      </c>
      <c r="I90" s="197">
        <f t="shared" si="8"/>
        <v>0.3727761111332597</v>
      </c>
      <c r="J90" s="197">
        <f t="shared" si="8"/>
        <v>0.38119743182066435</v>
      </c>
      <c r="K90" s="197">
        <f t="shared" si="8"/>
        <v>0.41663342119209251</v>
      </c>
      <c r="L90" s="197">
        <f t="shared" si="8"/>
        <v>0.42585700194724746</v>
      </c>
      <c r="M90" s="197">
        <f t="shared" si="8"/>
        <v>0.45078451896090466</v>
      </c>
      <c r="N90" s="197">
        <f t="shared" si="8"/>
        <v>0.47391665415821943</v>
      </c>
      <c r="O90" s="197">
        <f t="shared" si="8"/>
        <v>0.53718078000295788</v>
      </c>
      <c r="P90" s="197">
        <f t="shared" si="8"/>
        <v>0.56759785946273078</v>
      </c>
      <c r="Q90" s="197">
        <f t="shared" si="8"/>
        <v>0.60387980052398216</v>
      </c>
      <c r="R90" s="197">
        <f t="shared" si="8"/>
        <v>0.61466700237116512</v>
      </c>
      <c r="S90" s="197">
        <f t="shared" si="8"/>
        <v>0.64419930459137098</v>
      </c>
      <c r="T90" s="197">
        <f t="shared" si="8"/>
        <v>0.62257191654473065</v>
      </c>
      <c r="U90" s="197" t="str">
        <f t="shared" si="9"/>
        <v>Czech Republic</v>
      </c>
      <c r="V90" s="204">
        <f t="shared" si="10"/>
        <v>1.2941513874722568</v>
      </c>
      <c r="W90" s="179">
        <f t="shared" si="11"/>
        <v>4.8787266150516206E-2</v>
      </c>
      <c r="X90" s="179">
        <f t="shared" si="12"/>
        <v>4.5638856495353375E-2</v>
      </c>
      <c r="Y90" s="207">
        <f t="shared" si="13"/>
        <v>4.7211878124247431E-2</v>
      </c>
      <c r="Z90" s="205">
        <f t="shared" si="14"/>
        <v>-3.357251070048739E-2</v>
      </c>
      <c r="AB90" s="206">
        <f t="shared" si="15"/>
        <v>1.0344667187061141</v>
      </c>
    </row>
    <row r="91" spans="1:28" x14ac:dyDescent="0.25">
      <c r="A91" s="168" t="s">
        <v>292</v>
      </c>
      <c r="B91" s="197">
        <f t="shared" si="8"/>
        <v>0.78338453665521091</v>
      </c>
      <c r="C91" s="197">
        <f t="shared" si="8"/>
        <v>0.79569118166261177</v>
      </c>
      <c r="D91" s="197">
        <f t="shared" si="8"/>
        <v>0.80490092647874145</v>
      </c>
      <c r="E91" s="197">
        <f t="shared" si="8"/>
        <v>0.81110076913663132</v>
      </c>
      <c r="F91" s="197">
        <f t="shared" si="8"/>
        <v>0.8474703471972862</v>
      </c>
      <c r="G91" s="197">
        <f t="shared" si="8"/>
        <v>0.85510758058622027</v>
      </c>
      <c r="H91" s="197">
        <f t="shared" si="8"/>
        <v>0.86840155268674113</v>
      </c>
      <c r="I91" s="197">
        <f t="shared" si="8"/>
        <v>0.87675713978883141</v>
      </c>
      <c r="J91" s="197">
        <f t="shared" si="8"/>
        <v>0.88482037296547966</v>
      </c>
      <c r="K91" s="197">
        <f t="shared" si="8"/>
        <v>0.89412461699529333</v>
      </c>
      <c r="L91" s="197">
        <f t="shared" si="8"/>
        <v>0.88780154671089417</v>
      </c>
      <c r="M91" s="197">
        <f t="shared" si="8"/>
        <v>0.88985069202716216</v>
      </c>
      <c r="N91" s="197">
        <f t="shared" si="8"/>
        <v>0.88164826686168618</v>
      </c>
      <c r="O91" s="197">
        <f t="shared" si="8"/>
        <v>0.91315939591050965</v>
      </c>
      <c r="P91" s="197">
        <f t="shared" si="8"/>
        <v>0.95412068978294218</v>
      </c>
      <c r="Q91" s="197">
        <f t="shared" si="8"/>
        <v>0.97220592433942754</v>
      </c>
      <c r="R91" s="197">
        <f t="shared" si="8"/>
        <v>0.98185909833680929</v>
      </c>
      <c r="S91" s="197">
        <f t="shared" si="8"/>
        <v>1.0198117010863059</v>
      </c>
      <c r="T91" s="197">
        <f t="shared" si="8"/>
        <v>1.0025948762471029</v>
      </c>
      <c r="U91" s="197" t="str">
        <f t="shared" si="9"/>
        <v>Denmark</v>
      </c>
      <c r="V91" s="204">
        <f t="shared" si="10"/>
        <v>0.27982469570799351</v>
      </c>
      <c r="W91" s="179">
        <f t="shared" si="11"/>
        <v>1.479972229526938E-2</v>
      </c>
      <c r="X91" s="179">
        <f t="shared" si="12"/>
        <v>1.2803678114704509E-2</v>
      </c>
      <c r="Y91" s="179">
        <f t="shared" si="13"/>
        <v>1.3801208960824596E-2</v>
      </c>
      <c r="Z91" s="205">
        <f t="shared" si="14"/>
        <v>-1.6882356635900209E-2</v>
      </c>
      <c r="AB91" s="206">
        <f t="shared" si="15"/>
        <v>1.0779097097867887</v>
      </c>
    </row>
    <row r="92" spans="1:28" x14ac:dyDescent="0.25">
      <c r="A92" s="168" t="s">
        <v>293</v>
      </c>
      <c r="B92" s="197">
        <f t="shared" si="8"/>
        <v>0.7411060792401678</v>
      </c>
      <c r="C92" s="197">
        <f t="shared" si="8"/>
        <v>0.7422897132425752</v>
      </c>
      <c r="D92" s="197">
        <f t="shared" si="8"/>
        <v>0.76405273281833086</v>
      </c>
      <c r="E92" s="197">
        <f t="shared" si="8"/>
        <v>0.77613196192111134</v>
      </c>
      <c r="F92" s="197">
        <f t="shared" si="8"/>
        <v>0.76403315725634235</v>
      </c>
      <c r="G92" s="197">
        <f t="shared" si="8"/>
        <v>0.77359677109013025</v>
      </c>
      <c r="H92" s="197">
        <f t="shared" si="8"/>
        <v>0.76735418177473258</v>
      </c>
      <c r="I92" s="197">
        <f t="shared" si="8"/>
        <v>0.77968923682319213</v>
      </c>
      <c r="J92" s="197">
        <f t="shared" si="8"/>
        <v>0.79268922298870892</v>
      </c>
      <c r="K92" s="197">
        <f t="shared" si="8"/>
        <v>0.81796007901848111</v>
      </c>
      <c r="L92" s="197">
        <f t="shared" si="8"/>
        <v>0.80556475976703767</v>
      </c>
      <c r="M92" s="197">
        <f t="shared" si="8"/>
        <v>0.78779920237822865</v>
      </c>
      <c r="N92" s="197">
        <f t="shared" si="8"/>
        <v>0.7808194896503845</v>
      </c>
      <c r="O92" s="197">
        <f t="shared" si="8"/>
        <v>0.75840220372324152</v>
      </c>
      <c r="P92" s="197">
        <f t="shared" si="8"/>
        <v>0.76599684986385408</v>
      </c>
      <c r="Q92" s="197">
        <f t="shared" si="8"/>
        <v>0.75331345984087994</v>
      </c>
      <c r="R92" s="197">
        <f t="shared" si="8"/>
        <v>0.76798325820515168</v>
      </c>
      <c r="S92" s="197">
        <f t="shared" si="8"/>
        <v>0.7558533809174246</v>
      </c>
      <c r="T92" s="197">
        <f t="shared" si="8"/>
        <v>0.74721012181334812</v>
      </c>
      <c r="U92" s="197" t="str">
        <f t="shared" si="9"/>
        <v>Germany (including ex-GDR from 1991)</v>
      </c>
      <c r="V92" s="204">
        <f t="shared" si="10"/>
        <v>8.2363952262254347E-3</v>
      </c>
      <c r="W92" s="200">
        <f t="shared" si="11"/>
        <v>1.1023623975049857E-2</v>
      </c>
      <c r="X92" s="200">
        <f t="shared" si="12"/>
        <v>-1.0001548405811245E-2</v>
      </c>
      <c r="Y92" s="179">
        <f t="shared" si="13"/>
        <v>4.5580725009775058E-4</v>
      </c>
      <c r="Z92" s="205">
        <f t="shared" si="14"/>
        <v>-1.1435100142815569E-2</v>
      </c>
      <c r="AB92" s="203">
        <f t="shared" si="15"/>
        <v>-4.5573668356482765E-2</v>
      </c>
    </row>
    <row r="93" spans="1:28" x14ac:dyDescent="0.25">
      <c r="A93" s="168" t="s">
        <v>294</v>
      </c>
      <c r="B93" s="197">
        <f t="shared" si="8"/>
        <v>0.53546449475645919</v>
      </c>
      <c r="C93" s="197">
        <f t="shared" si="8"/>
        <v>0.49306362179149849</v>
      </c>
      <c r="D93" s="197">
        <f t="shared" si="8"/>
        <v>0.25725491003152656</v>
      </c>
      <c r="E93" s="197">
        <f t="shared" si="8"/>
        <v>0.27724420582768644</v>
      </c>
      <c r="F93" s="197">
        <f t="shared" si="8"/>
        <v>0.33311847642983661</v>
      </c>
      <c r="G93" s="197">
        <f t="shared" si="8"/>
        <v>0.33976140738566718</v>
      </c>
      <c r="H93" s="197">
        <f t="shared" si="8"/>
        <v>0.37328303835553384</v>
      </c>
      <c r="I93" s="197">
        <f t="shared" si="8"/>
        <v>0.3954492046919052</v>
      </c>
      <c r="J93" s="197">
        <f t="shared" si="8"/>
        <v>0.41419192375997255</v>
      </c>
      <c r="K93" s="197">
        <f t="shared" si="8"/>
        <v>0.42124739983048598</v>
      </c>
      <c r="L93" s="197">
        <f t="shared" si="8"/>
        <v>0.42198982414175362</v>
      </c>
      <c r="M93" s="197">
        <f t="shared" si="8"/>
        <v>0.4777026962769183</v>
      </c>
      <c r="N93" s="197">
        <f t="shared" si="8"/>
        <v>0.49366681310156463</v>
      </c>
      <c r="O93" s="197">
        <f t="shared" si="8"/>
        <v>0.48081000261790724</v>
      </c>
      <c r="P93" s="197">
        <f t="shared" si="8"/>
        <v>0.52550980001761571</v>
      </c>
      <c r="Q93" s="197">
        <f t="shared" si="8"/>
        <v>0.56548745463855554</v>
      </c>
      <c r="R93" s="197">
        <f t="shared" si="8"/>
        <v>0.59419164651323275</v>
      </c>
      <c r="S93" s="197">
        <f t="shared" si="8"/>
        <v>0.63319003373785487</v>
      </c>
      <c r="T93" s="197">
        <f t="shared" si="8"/>
        <v>0.59361564878237938</v>
      </c>
      <c r="U93" s="197" t="str">
        <f t="shared" si="9"/>
        <v>Estonia</v>
      </c>
      <c r="V93" s="204">
        <f t="shared" si="10"/>
        <v>0.10859945821873507</v>
      </c>
      <c r="W93" s="179">
        <f t="shared" si="11"/>
        <v>-2.6304976308193617E-2</v>
      </c>
      <c r="X93" s="179">
        <f t="shared" si="12"/>
        <v>3.8848009553011931E-2</v>
      </c>
      <c r="Y93" s="179">
        <f t="shared" si="13"/>
        <v>5.74407145849265E-3</v>
      </c>
      <c r="Z93" s="205">
        <f t="shared" si="14"/>
        <v>-6.2500012392582183E-2</v>
      </c>
      <c r="AB93" s="206">
        <f t="shared" si="15"/>
        <v>0.14786012268284426</v>
      </c>
    </row>
    <row r="94" spans="1:28" x14ac:dyDescent="0.25">
      <c r="A94" s="168" t="s">
        <v>295</v>
      </c>
      <c r="B94" s="197">
        <f t="shared" si="8"/>
        <v>0.56715626309891454</v>
      </c>
      <c r="C94" s="197">
        <f t="shared" si="8"/>
        <v>0.57966865446721183</v>
      </c>
      <c r="D94" s="197">
        <f t="shared" si="8"/>
        <v>0.60437063705851912</v>
      </c>
      <c r="E94" s="197">
        <f t="shared" si="8"/>
        <v>0.63764807597537609</v>
      </c>
      <c r="F94" s="197">
        <f t="shared" si="8"/>
        <v>0.64412525947810229</v>
      </c>
      <c r="G94" s="197">
        <f t="shared" si="8"/>
        <v>0.65293220484559633</v>
      </c>
      <c r="H94" s="197">
        <f t="shared" si="8"/>
        <v>0.73230729282485252</v>
      </c>
      <c r="I94" s="197">
        <f t="shared" si="8"/>
        <v>0.77866895762054533</v>
      </c>
      <c r="J94" s="197">
        <f t="shared" si="8"/>
        <v>0.8947953504213525</v>
      </c>
      <c r="K94" s="197">
        <f t="shared" si="8"/>
        <v>0.98869273117926926</v>
      </c>
      <c r="L94" s="197">
        <f t="shared" si="8"/>
        <v>1.063592395817313</v>
      </c>
      <c r="M94" s="197">
        <f t="shared" si="8"/>
        <v>1.1187138547545208</v>
      </c>
      <c r="N94" s="197">
        <f t="shared" si="8"/>
        <v>1.127728163664691</v>
      </c>
      <c r="O94" s="197">
        <f t="shared" si="8"/>
        <v>1.120175393228237</v>
      </c>
      <c r="P94" s="197">
        <f t="shared" si="8"/>
        <v>1.1455578474436729</v>
      </c>
      <c r="Q94" s="197">
        <f t="shared" si="8"/>
        <v>1.2160597765049075</v>
      </c>
      <c r="R94" s="197">
        <f t="shared" si="8"/>
        <v>1.276544486969529</v>
      </c>
      <c r="S94" s="197">
        <f t="shared" si="8"/>
        <v>1.0956455682817914</v>
      </c>
      <c r="T94" s="197">
        <f t="shared" si="8"/>
        <v>1.2343981996371556</v>
      </c>
      <c r="U94" s="197" t="str">
        <f t="shared" si="9"/>
        <v>Ireland</v>
      </c>
      <c r="V94" s="204">
        <f t="shared" si="10"/>
        <v>1.1764693082863324</v>
      </c>
      <c r="W94" s="179">
        <f t="shared" si="11"/>
        <v>6.3696237870784378E-2</v>
      </c>
      <c r="X94" s="179">
        <f t="shared" si="12"/>
        <v>2.4968308886589519E-2</v>
      </c>
      <c r="Y94" s="207">
        <f t="shared" si="13"/>
        <v>4.4152735043798907E-2</v>
      </c>
      <c r="Z94" s="205">
        <f t="shared" si="14"/>
        <v>0.1266400699023118</v>
      </c>
      <c r="AB94" s="203">
        <f t="shared" si="15"/>
        <v>1.7683510422891855</v>
      </c>
    </row>
    <row r="95" spans="1:28" x14ac:dyDescent="0.25">
      <c r="A95" s="168" t="s">
        <v>296</v>
      </c>
      <c r="B95" s="197">
        <f t="shared" si="8"/>
        <v>0.57514693368924397</v>
      </c>
      <c r="C95" s="197">
        <f t="shared" si="8"/>
        <v>0.58776143537405545</v>
      </c>
      <c r="D95" s="197">
        <f t="shared" si="8"/>
        <v>0.59720890353879463</v>
      </c>
      <c r="E95" s="197">
        <f t="shared" si="8"/>
        <v>0.62053391444328676</v>
      </c>
      <c r="F95" s="197">
        <f t="shared" si="8"/>
        <v>0.61430905310971484</v>
      </c>
      <c r="G95" s="197">
        <f t="shared" si="8"/>
        <v>0.60830155598724467</v>
      </c>
      <c r="H95" s="197">
        <f t="shared" si="8"/>
        <v>0.61600030579847875</v>
      </c>
      <c r="I95" s="197">
        <f t="shared" si="8"/>
        <v>0.62728898822102053</v>
      </c>
      <c r="J95" s="197">
        <f t="shared" si="8"/>
        <v>0.67614340679685114</v>
      </c>
      <c r="K95" s="197">
        <f t="shared" si="8"/>
        <v>0.68766444700232998</v>
      </c>
      <c r="L95" s="197">
        <f t="shared" si="8"/>
        <v>0.66142339745832568</v>
      </c>
      <c r="M95" s="197">
        <f t="shared" si="8"/>
        <v>0.67503988123542813</v>
      </c>
      <c r="N95" s="197">
        <f t="shared" si="8"/>
        <v>0.68157525936509566</v>
      </c>
      <c r="O95" s="197">
        <f t="shared" si="8"/>
        <v>0.71031548346926521</v>
      </c>
      <c r="P95" s="197">
        <f t="shared" si="8"/>
        <v>0.72251180863445541</v>
      </c>
      <c r="Q95" s="197">
        <f t="shared" si="8"/>
        <v>0.72951201375903874</v>
      </c>
      <c r="R95" s="197">
        <f t="shared" si="8"/>
        <v>0.75953834091118899</v>
      </c>
      <c r="S95" s="197">
        <f t="shared" si="8"/>
        <v>0.78000383109524574</v>
      </c>
      <c r="T95" s="197">
        <f t="shared" si="8"/>
        <v>0.75888738726487082</v>
      </c>
      <c r="U95" s="197" t="str">
        <f t="shared" si="9"/>
        <v>Greece</v>
      </c>
      <c r="V95" s="204">
        <f t="shared" si="10"/>
        <v>0.31946697932828272</v>
      </c>
      <c r="W95" s="179">
        <f t="shared" si="11"/>
        <v>2.0051205954839446E-2</v>
      </c>
      <c r="X95" s="179">
        <f t="shared" si="12"/>
        <v>1.1010440267844368E-2</v>
      </c>
      <c r="Y95" s="179">
        <f t="shared" si="13"/>
        <v>1.5520762381620479E-2</v>
      </c>
      <c r="Z95" s="205">
        <f t="shared" si="14"/>
        <v>-2.7072230915486828E-2</v>
      </c>
      <c r="AB95" s="203">
        <f t="shared" si="15"/>
        <v>1.40964048703378</v>
      </c>
    </row>
    <row r="96" spans="1:28" x14ac:dyDescent="0.25">
      <c r="A96" s="168" t="s">
        <v>297</v>
      </c>
      <c r="B96" s="197">
        <f t="shared" si="8"/>
        <v>0.57695432556960047</v>
      </c>
      <c r="C96" s="197">
        <f t="shared" si="8"/>
        <v>0.6237496164909645</v>
      </c>
      <c r="D96" s="197">
        <f t="shared" si="8"/>
        <v>0.63960887226497787</v>
      </c>
      <c r="E96" s="197">
        <f t="shared" si="8"/>
        <v>0.62994534953853321</v>
      </c>
      <c r="F96" s="197">
        <f t="shared" si="8"/>
        <v>0.65663897007944572</v>
      </c>
      <c r="G96" s="197">
        <f t="shared" si="8"/>
        <v>0.66497047766952777</v>
      </c>
      <c r="H96" s="197">
        <f t="shared" si="8"/>
        <v>0.70627291522622604</v>
      </c>
      <c r="I96" s="197">
        <f t="shared" si="8"/>
        <v>0.71123816515328686</v>
      </c>
      <c r="J96" s="197">
        <f t="shared" si="8"/>
        <v>0.77132876017157481</v>
      </c>
      <c r="K96" s="197">
        <f t="shared" si="8"/>
        <v>0.80436497638722992</v>
      </c>
      <c r="L96" s="197">
        <f t="shared" si="8"/>
        <v>0.82135430300765244</v>
      </c>
      <c r="M96" s="197">
        <f t="shared" si="8"/>
        <v>0.84715356033145273</v>
      </c>
      <c r="N96" s="197">
        <f t="shared" si="8"/>
        <v>0.84920400337425972</v>
      </c>
      <c r="O96" s="197">
        <f t="shared" si="8"/>
        <v>0.87819848557864588</v>
      </c>
      <c r="P96" s="197">
        <f t="shared" si="8"/>
        <v>0.90456230109087321</v>
      </c>
      <c r="Q96" s="197">
        <f t="shared" si="8"/>
        <v>0.92032547489679772</v>
      </c>
      <c r="R96" s="197">
        <f t="shared" si="8"/>
        <v>0.93155005056189399</v>
      </c>
      <c r="S96" s="197">
        <f t="shared" si="8"/>
        <v>0.9444485329175637</v>
      </c>
      <c r="T96" s="197">
        <f t="shared" si="8"/>
        <v>0.88761279306332619</v>
      </c>
      <c r="U96" s="197" t="str">
        <f t="shared" si="9"/>
        <v>Spain</v>
      </c>
      <c r="V96" s="204">
        <f t="shared" si="10"/>
        <v>0.53844551245374039</v>
      </c>
      <c r="W96" s="179">
        <f t="shared" si="11"/>
        <v>3.7611162999792613E-2</v>
      </c>
      <c r="X96" s="179">
        <f t="shared" si="12"/>
        <v>1.1002586680497917E-2</v>
      </c>
      <c r="Y96" s="179">
        <f t="shared" si="13"/>
        <v>2.4220469313785076E-2</v>
      </c>
      <c r="Z96" s="205">
        <f t="shared" si="14"/>
        <v>-6.0178758157061418E-2</v>
      </c>
      <c r="AB96" s="203">
        <f t="shared" si="15"/>
        <v>2.2013431947521807</v>
      </c>
    </row>
    <row r="97" spans="1:28" x14ac:dyDescent="0.25">
      <c r="A97" s="168" t="s">
        <v>298</v>
      </c>
      <c r="B97" s="197">
        <f t="shared" si="8"/>
        <v>0.72571193870014428</v>
      </c>
      <c r="C97" s="197">
        <f t="shared" si="8"/>
        <v>0.71503243017445772</v>
      </c>
      <c r="D97" s="197">
        <f t="shared" si="8"/>
        <v>0.72900108559272681</v>
      </c>
      <c r="E97" s="197">
        <f t="shared" si="8"/>
        <v>0.75929854142234898</v>
      </c>
      <c r="F97" s="197">
        <f t="shared" si="8"/>
        <v>0.74035197427193133</v>
      </c>
      <c r="G97" s="197">
        <f t="shared" si="8"/>
        <v>0.7467233618048168</v>
      </c>
      <c r="H97" s="197">
        <f t="shared" si="8"/>
        <v>0.77722134950537947</v>
      </c>
      <c r="I97" s="197">
        <f t="shared" si="8"/>
        <v>0.79189455728997238</v>
      </c>
      <c r="J97" s="197">
        <f t="shared" si="8"/>
        <v>0.82975050055990762</v>
      </c>
      <c r="K97" s="197">
        <f t="shared" si="8"/>
        <v>0.82970773240098794</v>
      </c>
      <c r="L97" s="197">
        <f t="shared" si="8"/>
        <v>0.85202710802549542</v>
      </c>
      <c r="M97" s="197">
        <f t="shared" si="8"/>
        <v>0.85107548354716678</v>
      </c>
      <c r="N97" s="197">
        <f t="shared" si="8"/>
        <v>0.83724553691001358</v>
      </c>
      <c r="O97" s="197">
        <f t="shared" si="8"/>
        <v>0.81669352338953094</v>
      </c>
      <c r="P97" s="197">
        <f t="shared" si="8"/>
        <v>0.81740517249973399</v>
      </c>
      <c r="Q97" s="197">
        <f t="shared" si="8"/>
        <v>0.80359556604628712</v>
      </c>
      <c r="R97" s="197">
        <f t="shared" si="8"/>
        <v>0.80438791782492847</v>
      </c>
      <c r="S97" s="197">
        <f t="shared" si="8"/>
        <v>0.80935873574060058</v>
      </c>
      <c r="T97" s="197">
        <f t="shared" si="8"/>
        <v>0.78880474294366332</v>
      </c>
      <c r="U97" s="197" t="str">
        <f t="shared" si="9"/>
        <v>France</v>
      </c>
      <c r="V97" s="204">
        <f t="shared" si="10"/>
        <v>8.6939184652973234E-2</v>
      </c>
      <c r="W97" s="200">
        <f t="shared" si="11"/>
        <v>1.4991298020507804E-2</v>
      </c>
      <c r="X97" s="200">
        <f t="shared" si="12"/>
        <v>-5.6014412094368415E-3</v>
      </c>
      <c r="Y97" s="179">
        <f t="shared" si="13"/>
        <v>4.6421671105367768E-3</v>
      </c>
      <c r="Z97" s="205">
        <f t="shared" si="14"/>
        <v>-2.5395404891910389E-2</v>
      </c>
      <c r="AB97" s="203">
        <f t="shared" si="15"/>
        <v>-0.8287451277210659</v>
      </c>
    </row>
    <row r="98" spans="1:28" x14ac:dyDescent="0.25">
      <c r="A98" s="168" t="s">
        <v>299</v>
      </c>
      <c r="B98" s="197">
        <f t="shared" si="8"/>
        <v>0.60286420024849041</v>
      </c>
      <c r="C98" s="197">
        <f t="shared" si="8"/>
        <v>0.61837245195400781</v>
      </c>
      <c r="D98" s="197">
        <f t="shared" si="8"/>
        <v>0.64837246445810093</v>
      </c>
      <c r="E98" s="197">
        <f t="shared" si="8"/>
        <v>0.66047473436434434</v>
      </c>
      <c r="F98" s="197">
        <f t="shared" si="8"/>
        <v>0.66086240705704291</v>
      </c>
      <c r="G98" s="197">
        <f t="shared" si="8"/>
        <v>0.6777799497885526</v>
      </c>
      <c r="H98" s="197">
        <f t="shared" si="8"/>
        <v>0.69143381513507873</v>
      </c>
      <c r="I98" s="197">
        <f t="shared" si="8"/>
        <v>0.70178536729246621</v>
      </c>
      <c r="J98" s="197">
        <f t="shared" si="8"/>
        <v>0.72330110130891689</v>
      </c>
      <c r="K98" s="197">
        <f t="shared" si="8"/>
        <v>0.74267548275971074</v>
      </c>
      <c r="L98" s="197">
        <f t="shared" si="8"/>
        <v>0.74580765589987019</v>
      </c>
      <c r="M98" s="197">
        <f t="shared" si="8"/>
        <v>0.75279984309179393</v>
      </c>
      <c r="N98" s="197">
        <f t="shared" si="8"/>
        <v>0.76497872345353291</v>
      </c>
      <c r="O98" s="197">
        <f t="shared" si="8"/>
        <v>0.77191510905152327</v>
      </c>
      <c r="P98" s="197">
        <f t="shared" si="8"/>
        <v>0.77927738178968808</v>
      </c>
      <c r="Q98" s="197">
        <f t="shared" si="8"/>
        <v>0.76558641348388601</v>
      </c>
      <c r="R98" s="197">
        <f t="shared" si="8"/>
        <v>0.77165412254972454</v>
      </c>
      <c r="S98" s="197">
        <f t="shared" si="8"/>
        <v>0.7721631359046861</v>
      </c>
      <c r="T98" s="197">
        <f t="shared" si="8"/>
        <v>0.7357853473263436</v>
      </c>
      <c r="U98" s="197" t="str">
        <f t="shared" si="9"/>
        <v>Italy</v>
      </c>
      <c r="V98" s="204">
        <f t="shared" si="10"/>
        <v>0.22048273396075824</v>
      </c>
      <c r="W98" s="200">
        <f t="shared" si="11"/>
        <v>2.3444742000897856E-2</v>
      </c>
      <c r="X98" s="200">
        <f t="shared" si="12"/>
        <v>-1.0351033142574906E-3</v>
      </c>
      <c r="Y98" s="179">
        <f t="shared" si="13"/>
        <v>1.1130738805073204E-2</v>
      </c>
      <c r="Z98" s="205">
        <f t="shared" si="14"/>
        <v>-4.7111532378091736E-2</v>
      </c>
      <c r="AB98" s="203">
        <f t="shared" si="15"/>
        <v>-10.753263613166579</v>
      </c>
    </row>
    <row r="99" spans="1:28" x14ac:dyDescent="0.25">
      <c r="A99" s="168" t="s">
        <v>300</v>
      </c>
      <c r="B99" s="197">
        <f t="shared" si="8"/>
        <v>1.0949000707232102</v>
      </c>
      <c r="C99" s="197">
        <f t="shared" si="8"/>
        <v>0.9742123271922758</v>
      </c>
      <c r="D99" s="197">
        <f t="shared" si="8"/>
        <v>1.1358567593426292</v>
      </c>
      <c r="E99" s="197">
        <f t="shared" si="8"/>
        <v>1.0997511429498845</v>
      </c>
      <c r="F99" s="197">
        <f t="shared" si="8"/>
        <v>1.1027831846103289</v>
      </c>
      <c r="G99" s="197">
        <f t="shared" si="8"/>
        <v>1.1605224055196861</v>
      </c>
      <c r="H99" s="197">
        <f t="shared" si="8"/>
        <v>1.1488070842087781</v>
      </c>
      <c r="I99" s="197">
        <f t="shared" si="8"/>
        <v>1.1586146450692092</v>
      </c>
      <c r="J99" s="197">
        <f t="shared" si="8"/>
        <v>1.199617899483868</v>
      </c>
      <c r="K99" s="197">
        <f t="shared" si="8"/>
        <v>1.2154725259276398</v>
      </c>
      <c r="L99" s="197">
        <f t="shared" si="8"/>
        <v>1.2338938474750796</v>
      </c>
      <c r="M99" s="197">
        <f t="shared" si="8"/>
        <v>1.3289388989160618</v>
      </c>
      <c r="N99" s="197">
        <f t="shared" si="8"/>
        <v>1.2713684147864257</v>
      </c>
      <c r="O99" s="197">
        <f t="shared" si="8"/>
        <v>1.332611793264787</v>
      </c>
      <c r="P99" s="197">
        <f t="shared" si="8"/>
        <v>1.1747518713194873</v>
      </c>
      <c r="Q99" s="197">
        <f t="shared" si="8"/>
        <v>1.2934227650415457</v>
      </c>
      <c r="R99" s="197">
        <f t="shared" si="8"/>
        <v>1.2082242756525847</v>
      </c>
      <c r="S99" s="197">
        <f t="shared" si="8"/>
        <v>1.2225755248598917</v>
      </c>
      <c r="T99" s="197">
        <f t="shared" si="8"/>
        <v>1.2327862870580246</v>
      </c>
      <c r="U99" s="197" t="str">
        <f t="shared" si="9"/>
        <v>Cyprus</v>
      </c>
      <c r="V99" s="204">
        <f t="shared" si="10"/>
        <v>0.12593497801469411</v>
      </c>
      <c r="W99" s="179">
        <f t="shared" si="11"/>
        <v>1.1675388320175673E-2</v>
      </c>
      <c r="X99" s="179">
        <f t="shared" si="12"/>
        <v>1.5727877726059436E-3</v>
      </c>
      <c r="Y99" s="179">
        <f t="shared" si="13"/>
        <v>6.6114141021709205E-3</v>
      </c>
      <c r="Z99" s="205">
        <f t="shared" si="14"/>
        <v>8.3518457473643615E-3</v>
      </c>
      <c r="AB99" s="203">
        <f t="shared" si="15"/>
        <v>4.2036276078218133</v>
      </c>
    </row>
    <row r="100" spans="1:28" x14ac:dyDescent="0.25">
      <c r="A100" s="168" t="s">
        <v>301</v>
      </c>
      <c r="B100" s="197">
        <f t="shared" si="8"/>
        <v>0.41114784081794808</v>
      </c>
      <c r="C100" s="197">
        <f t="shared" si="8"/>
        <v>0.38823833469831209</v>
      </c>
      <c r="D100" s="197">
        <f t="shared" si="8"/>
        <v>0.32425274309496788</v>
      </c>
      <c r="E100" s="197">
        <f t="shared" si="8"/>
        <v>0.30591625010877238</v>
      </c>
      <c r="F100" s="197">
        <f t="shared" si="8"/>
        <v>0.29477697701290567</v>
      </c>
      <c r="G100" s="197">
        <f t="shared" si="8"/>
        <v>0.28553375616856885</v>
      </c>
      <c r="H100" s="197">
        <f t="shared" si="8"/>
        <v>0.28709904836181449</v>
      </c>
      <c r="I100" s="197">
        <f t="shared" si="8"/>
        <v>0.28794492398908428</v>
      </c>
      <c r="J100" s="197">
        <f t="shared" si="8"/>
        <v>0.28544412586144435</v>
      </c>
      <c r="K100" s="197">
        <f t="shared" si="8"/>
        <v>0.28342213893686685</v>
      </c>
      <c r="L100" s="197">
        <f t="shared" si="8"/>
        <v>0.31363954125493604</v>
      </c>
      <c r="M100" s="197">
        <f t="shared" si="8"/>
        <v>0.3696726324667316</v>
      </c>
      <c r="N100" s="197">
        <f t="shared" si="8"/>
        <v>0.38324335569416923</v>
      </c>
      <c r="O100" s="197">
        <f t="shared" si="8"/>
        <v>0.41132671093039613</v>
      </c>
      <c r="P100" s="197">
        <f t="shared" si="8"/>
        <v>0.43635680015936507</v>
      </c>
      <c r="Q100" s="197">
        <f t="shared" si="8"/>
        <v>0.46218534759719981</v>
      </c>
      <c r="R100" s="197">
        <f t="shared" si="8"/>
        <v>0.51338147555772484</v>
      </c>
      <c r="S100" s="197">
        <f t="shared" si="8"/>
        <v>0.5843146795364933</v>
      </c>
      <c r="T100" s="197">
        <f t="shared" si="8"/>
        <v>0.56365466640010498</v>
      </c>
      <c r="U100" s="197" t="str">
        <f t="shared" si="9"/>
        <v>Latvia</v>
      </c>
      <c r="V100" s="204">
        <f t="shared" si="10"/>
        <v>0.37092940894145499</v>
      </c>
      <c r="W100" s="179">
        <f t="shared" si="11"/>
        <v>-4.0492403371459207E-2</v>
      </c>
      <c r="X100" s="179">
        <f t="shared" si="12"/>
        <v>7.938277126831994E-2</v>
      </c>
      <c r="Y100" s="179">
        <f t="shared" si="13"/>
        <v>1.7681663734745445E-2</v>
      </c>
      <c r="Z100" s="205">
        <f t="shared" si="14"/>
        <v>-3.535768287179919E-2</v>
      </c>
      <c r="AB100" s="206">
        <f t="shared" si="15"/>
        <v>0.22273931046045303</v>
      </c>
    </row>
    <row r="101" spans="1:28" x14ac:dyDescent="0.25">
      <c r="A101" s="168" t="s">
        <v>302</v>
      </c>
      <c r="B101" s="197">
        <f t="shared" si="8"/>
        <v>0.54037839482709515</v>
      </c>
      <c r="C101" s="197">
        <f t="shared" si="8"/>
        <v>0.59860052815151288</v>
      </c>
      <c r="D101" s="197">
        <f t="shared" si="8"/>
        <v>0.38205228450268042</v>
      </c>
      <c r="E101" s="197">
        <f t="shared" si="8"/>
        <v>0.2896644737892905</v>
      </c>
      <c r="F101" s="197">
        <f t="shared" si="8"/>
        <v>0.23207063663621783</v>
      </c>
      <c r="G101" s="197">
        <f t="shared" si="8"/>
        <v>0.28547970609864254</v>
      </c>
      <c r="H101" s="197">
        <f t="shared" si="8"/>
        <v>0.31284472390554136</v>
      </c>
      <c r="I101" s="197">
        <f t="shared" si="8"/>
        <v>0.35005447304678106</v>
      </c>
      <c r="J101" s="197">
        <f t="shared" ref="J101:AB101" si="16">J19/J64*1000</f>
        <v>0.36886685169896311</v>
      </c>
      <c r="K101" s="197">
        <f t="shared" si="16"/>
        <v>0.33197592693814981</v>
      </c>
      <c r="L101" s="197">
        <f t="shared" si="16"/>
        <v>0.29925337564071824</v>
      </c>
      <c r="M101" s="197">
        <f t="shared" si="16"/>
        <v>0.32778911831896662</v>
      </c>
      <c r="N101" s="197">
        <f t="shared" si="16"/>
        <v>0.33979881378276927</v>
      </c>
      <c r="O101" s="197">
        <f t="shared" si="16"/>
        <v>0.34829791775028424</v>
      </c>
      <c r="P101" s="197">
        <f t="shared" si="16"/>
        <v>0.38451972905433973</v>
      </c>
      <c r="Q101" s="197">
        <f t="shared" si="16"/>
        <v>0.41105600521293756</v>
      </c>
      <c r="R101" s="197">
        <f t="shared" si="16"/>
        <v>0.44427676326747928</v>
      </c>
      <c r="S101" s="197">
        <f t="shared" si="16"/>
        <v>0.52941331137686165</v>
      </c>
      <c r="T101" s="197">
        <f t="shared" si="16"/>
        <v>0.53381147632292125</v>
      </c>
      <c r="U101" s="197" t="str">
        <f t="shared" si="9"/>
        <v>Lithuania</v>
      </c>
      <c r="V101" s="204">
        <f t="shared" si="10"/>
        <v>-1.215244459630016E-2</v>
      </c>
      <c r="W101" s="179">
        <f t="shared" si="11"/>
        <v>-5.2694963861012023E-2</v>
      </c>
      <c r="X101" s="179">
        <f t="shared" si="12"/>
        <v>5.4193043476284286E-2</v>
      </c>
      <c r="Y101" s="179">
        <f t="shared" si="13"/>
        <v>-6.7904097443682865E-4</v>
      </c>
      <c r="Z101" s="205">
        <f t="shared" si="14"/>
        <v>8.3076206274850239E-3</v>
      </c>
      <c r="AB101" s="206">
        <f t="shared" si="15"/>
        <v>-1.2530039482539626E-2</v>
      </c>
    </row>
    <row r="102" spans="1:28" x14ac:dyDescent="0.25">
      <c r="A102" s="168" t="s">
        <v>303</v>
      </c>
      <c r="B102" s="197">
        <f t="shared" ref="B102:T114" si="17">B20/B65*1000</f>
        <v>2.6627998945425784</v>
      </c>
      <c r="C102" s="197">
        <f t="shared" si="17"/>
        <v>3.0931321540062435</v>
      </c>
      <c r="D102" s="197">
        <f t="shared" si="17"/>
        <v>3.287987679671458</v>
      </c>
      <c r="E102" s="197">
        <f t="shared" si="17"/>
        <v>3.2729575680810639</v>
      </c>
      <c r="F102" s="197">
        <f t="shared" si="17"/>
        <v>3.3608195902048976</v>
      </c>
      <c r="G102" s="197">
        <f t="shared" si="17"/>
        <v>3.2318501170960188</v>
      </c>
      <c r="H102" s="197">
        <f t="shared" si="17"/>
        <v>3.2993197278911564</v>
      </c>
      <c r="I102" s="197">
        <f t="shared" si="17"/>
        <v>3.5288473071848387</v>
      </c>
      <c r="J102" s="197">
        <f t="shared" si="17"/>
        <v>3.69150574576472</v>
      </c>
      <c r="K102" s="197">
        <f t="shared" si="17"/>
        <v>3.9943839943839943</v>
      </c>
      <c r="L102" s="197">
        <f t="shared" si="17"/>
        <v>4.3450184501845017</v>
      </c>
      <c r="M102" s="197">
        <f t="shared" si="17"/>
        <v>4.5398633257403196</v>
      </c>
      <c r="N102" s="197">
        <f t="shared" si="17"/>
        <v>4.8057651165409299</v>
      </c>
      <c r="O102" s="197">
        <f t="shared" si="17"/>
        <v>5.2174882890921257</v>
      </c>
      <c r="P102" s="197">
        <f t="shared" si="17"/>
        <v>5.6928081589590294</v>
      </c>
      <c r="Q102" s="197">
        <f t="shared" si="17"/>
        <v>5.8994427942675021</v>
      </c>
      <c r="R102" s="197">
        <f t="shared" si="17"/>
        <v>5.6087796267635355</v>
      </c>
      <c r="S102" s="197">
        <f t="shared" si="17"/>
        <v>5.4999401495630922</v>
      </c>
      <c r="T102" s="197">
        <f t="shared" si="17"/>
        <v>5.4051372574147525</v>
      </c>
      <c r="U102" s="197" t="str">
        <f t="shared" si="9"/>
        <v>Luxembourg (Grand-Duché)</v>
      </c>
      <c r="V102" s="204">
        <f t="shared" si="10"/>
        <v>1.0298698631063523</v>
      </c>
      <c r="W102" s="179">
        <f t="shared" si="11"/>
        <v>4.6087277378220604E-2</v>
      </c>
      <c r="X102" s="179">
        <f t="shared" si="12"/>
        <v>3.4177804386335664E-2</v>
      </c>
      <c r="Y102" s="207">
        <f t="shared" si="13"/>
        <v>4.0115495373224341E-2</v>
      </c>
      <c r="Z102" s="205">
        <f t="shared" si="14"/>
        <v>-1.7237077053624095E-2</v>
      </c>
      <c r="AB102" s="203">
        <f t="shared" si="15"/>
        <v>1.1737294449863074</v>
      </c>
    </row>
    <row r="103" spans="1:28" x14ac:dyDescent="0.25">
      <c r="A103" s="168" t="s">
        <v>304</v>
      </c>
      <c r="B103" s="197">
        <f t="shared" si="17"/>
        <v>0.29214956245518603</v>
      </c>
      <c r="C103" s="197">
        <f t="shared" si="17"/>
        <v>0.25855205259191683</v>
      </c>
      <c r="D103" s="197">
        <f t="shared" si="17"/>
        <v>0.25140627977797975</v>
      </c>
      <c r="E103" s="197">
        <f t="shared" si="17"/>
        <v>0.25055390551020812</v>
      </c>
      <c r="F103" s="197">
        <f t="shared" si="17"/>
        <v>0.2511108684919145</v>
      </c>
      <c r="G103" s="197">
        <f t="shared" si="17"/>
        <v>0.25733551326825777</v>
      </c>
      <c r="H103" s="197">
        <f t="shared" si="17"/>
        <v>0.2582056846137219</v>
      </c>
      <c r="I103" s="197">
        <f t="shared" si="17"/>
        <v>0.27093807186644492</v>
      </c>
      <c r="J103" s="197">
        <f t="shared" si="17"/>
        <v>0.29952166030916783</v>
      </c>
      <c r="K103" s="197">
        <f t="shared" si="17"/>
        <v>0.31891810495155953</v>
      </c>
      <c r="L103" s="197">
        <f t="shared" si="17"/>
        <v>0.31922457874682392</v>
      </c>
      <c r="M103" s="197">
        <f t="shared" si="17"/>
        <v>0.33469610397657007</v>
      </c>
      <c r="N103" s="197">
        <f t="shared" si="17"/>
        <v>0.35371518389504003</v>
      </c>
      <c r="O103" s="197">
        <f t="shared" si="17"/>
        <v>0.36973635924255122</v>
      </c>
      <c r="P103" s="197">
        <f t="shared" si="17"/>
        <v>0.38372037163743028</v>
      </c>
      <c r="Q103" s="197">
        <f t="shared" si="17"/>
        <v>0.41554638655380627</v>
      </c>
      <c r="R103" s="197">
        <f t="shared" si="17"/>
        <v>0.46444324716885615</v>
      </c>
      <c r="S103" s="197">
        <f t="shared" si="17"/>
        <v>0.46422875540002451</v>
      </c>
      <c r="T103" s="197">
        <f t="shared" si="17"/>
        <v>0.47812924541290086</v>
      </c>
      <c r="U103" s="197" t="str">
        <f t="shared" si="9"/>
        <v>Hungary</v>
      </c>
      <c r="V103" s="204">
        <f t="shared" si="10"/>
        <v>0.63659066060125613</v>
      </c>
      <c r="W103" s="179">
        <f t="shared" si="11"/>
        <v>9.7885389723850746E-3</v>
      </c>
      <c r="X103" s="179">
        <f t="shared" si="12"/>
        <v>4.6021669569095813E-2</v>
      </c>
      <c r="Y103" s="208">
        <f t="shared" si="13"/>
        <v>2.7745441949334149E-2</v>
      </c>
      <c r="Z103" s="205">
        <f t="shared" si="14"/>
        <v>2.99431904016767E-2</v>
      </c>
      <c r="AB103" s="206">
        <f t="shared" si="15"/>
        <v>0.60287777929650765</v>
      </c>
    </row>
    <row r="104" spans="1:28" x14ac:dyDescent="0.25">
      <c r="A104" s="168" t="s">
        <v>305</v>
      </c>
      <c r="B104" s="197">
        <f t="shared" si="17"/>
        <v>0.62991232301449929</v>
      </c>
      <c r="C104" s="197">
        <f t="shared" si="17"/>
        <v>0.70242477030710015</v>
      </c>
      <c r="D104" s="197">
        <f t="shared" si="17"/>
        <v>0.7092336660705395</v>
      </c>
      <c r="E104" s="197">
        <f t="shared" si="17"/>
        <v>0.76588874777189742</v>
      </c>
      <c r="F104" s="197">
        <f t="shared" si="17"/>
        <v>0.75866943571913947</v>
      </c>
      <c r="G104" s="197">
        <f t="shared" si="17"/>
        <v>0.54134377765928365</v>
      </c>
      <c r="H104" s="197">
        <f t="shared" si="17"/>
        <v>0.32308872824199347</v>
      </c>
      <c r="I104" s="197">
        <f t="shared" si="17"/>
        <v>0.63910920477700695</v>
      </c>
      <c r="J104" s="197">
        <f t="shared" si="17"/>
        <v>0.3851128646288442</v>
      </c>
      <c r="K104" s="197">
        <f t="shared" si="17"/>
        <v>0.36457975578440127</v>
      </c>
      <c r="L104" s="197">
        <f t="shared" si="17"/>
        <v>0.39452815747459896</v>
      </c>
      <c r="M104" s="197">
        <f t="shared" si="17"/>
        <v>0.60549544600998939</v>
      </c>
      <c r="N104" s="197">
        <f t="shared" si="17"/>
        <v>0.49158602375323401</v>
      </c>
      <c r="O104" s="197">
        <f t="shared" si="17"/>
        <v>0.6670089807095968</v>
      </c>
      <c r="P104" s="197">
        <f t="shared" si="17"/>
        <v>0.75525112099773173</v>
      </c>
      <c r="Q104" s="197">
        <f t="shared" si="17"/>
        <v>0.65066009715199613</v>
      </c>
      <c r="R104" s="197">
        <f t="shared" si="17"/>
        <v>0.61974390502856747</v>
      </c>
      <c r="S104" s="197">
        <f t="shared" si="17"/>
        <v>0.6301954341482553</v>
      </c>
      <c r="T104" s="197">
        <f t="shared" si="17"/>
        <v>0.7482512369299763</v>
      </c>
      <c r="U104" s="197" t="str">
        <f t="shared" si="9"/>
        <v>Malta</v>
      </c>
      <c r="V104" s="204">
        <f t="shared" si="10"/>
        <v>0.18786569113167384</v>
      </c>
      <c r="W104" s="179">
        <f t="shared" si="11"/>
        <v>-5.8950444491510323E-2</v>
      </c>
      <c r="X104" s="179">
        <f t="shared" si="12"/>
        <v>8.3165922461774455E-2</v>
      </c>
      <c r="Y104" s="179">
        <f t="shared" si="13"/>
        <v>9.610226708602676E-3</v>
      </c>
      <c r="Z104" s="205">
        <f t="shared" si="14"/>
        <v>0.18733205032067568</v>
      </c>
      <c r="AB104" s="206">
        <f t="shared" si="15"/>
        <v>0.11555486218552825</v>
      </c>
    </row>
    <row r="105" spans="1:28" x14ac:dyDescent="0.25">
      <c r="A105" s="168" t="s">
        <v>306</v>
      </c>
      <c r="B105" s="197">
        <f t="shared" si="17"/>
        <v>0.69732740626301404</v>
      </c>
      <c r="C105" s="197">
        <f t="shared" si="17"/>
        <v>0.70450942660260896</v>
      </c>
      <c r="D105" s="197">
        <f t="shared" si="17"/>
        <v>0.74260616095418452</v>
      </c>
      <c r="E105" s="197">
        <f t="shared" si="17"/>
        <v>0.76132695311336263</v>
      </c>
      <c r="F105" s="197">
        <f t="shared" si="17"/>
        <v>0.77189056414301738</v>
      </c>
      <c r="G105" s="197">
        <f t="shared" si="17"/>
        <v>0.80626955621849983</v>
      </c>
      <c r="H105" s="197">
        <f t="shared" si="17"/>
        <v>0.84885079530387753</v>
      </c>
      <c r="I105" s="197">
        <f t="shared" si="17"/>
        <v>0.8688833448629858</v>
      </c>
      <c r="J105" s="197">
        <f t="shared" si="17"/>
        <v>0.87158762330243555</v>
      </c>
      <c r="K105" s="197">
        <f t="shared" si="17"/>
        <v>0.87581236943000496</v>
      </c>
      <c r="L105" s="197">
        <f t="shared" si="17"/>
        <v>0.87355292975582999</v>
      </c>
      <c r="M105" s="197">
        <f t="shared" si="17"/>
        <v>0.89290880289233643</v>
      </c>
      <c r="N105" s="197">
        <f t="shared" si="17"/>
        <v>0.90783863806197784</v>
      </c>
      <c r="O105" s="197">
        <f t="shared" si="17"/>
        <v>0.90881176875421643</v>
      </c>
      <c r="P105" s="197">
        <f t="shared" si="17"/>
        <v>0.92778756986085409</v>
      </c>
      <c r="Q105" s="197">
        <f t="shared" si="17"/>
        <v>0.92692501916221537</v>
      </c>
      <c r="R105" s="197">
        <f t="shared" si="17"/>
        <v>0.95596909798514895</v>
      </c>
      <c r="S105" s="197">
        <f t="shared" si="17"/>
        <v>0.95934757762444189</v>
      </c>
      <c r="T105" s="197">
        <f t="shared" si="17"/>
        <v>0.96474337503159779</v>
      </c>
      <c r="U105" s="197" t="str">
        <f t="shared" si="9"/>
        <v>Netherlands</v>
      </c>
      <c r="V105" s="204">
        <f t="shared" si="10"/>
        <v>0.3834869623175563</v>
      </c>
      <c r="W105" s="179">
        <f t="shared" si="11"/>
        <v>2.5645193071674344E-2</v>
      </c>
      <c r="X105" s="179">
        <f t="shared" si="12"/>
        <v>1.0803525084640997E-2</v>
      </c>
      <c r="Y105" s="179">
        <f t="shared" si="13"/>
        <v>1.8197317145829839E-2</v>
      </c>
      <c r="Z105" s="205">
        <f t="shared" si="14"/>
        <v>5.6244447090980643E-3</v>
      </c>
      <c r="AB105" s="203">
        <f t="shared" si="15"/>
        <v>1.6843869943617147</v>
      </c>
    </row>
    <row r="106" spans="1:28" x14ac:dyDescent="0.25">
      <c r="A106" s="168" t="s">
        <v>307</v>
      </c>
      <c r="B106" s="197">
        <f t="shared" si="17"/>
        <v>0.6578312263287367</v>
      </c>
      <c r="C106" s="197">
        <f t="shared" si="17"/>
        <v>0.72248544329948239</v>
      </c>
      <c r="D106" s="197">
        <f t="shared" si="17"/>
        <v>0.71843474316054101</v>
      </c>
      <c r="E106" s="197">
        <f t="shared" si="17"/>
        <v>0.71905947832158723</v>
      </c>
      <c r="F106" s="197">
        <f t="shared" si="17"/>
        <v>0.71902921344686788</v>
      </c>
      <c r="G106" s="197">
        <f t="shared" si="17"/>
        <v>0.73116485715533819</v>
      </c>
      <c r="H106" s="197">
        <f t="shared" si="17"/>
        <v>0.8003201783664089</v>
      </c>
      <c r="I106" s="197">
        <f t="shared" si="17"/>
        <v>0.76309176963216163</v>
      </c>
      <c r="J106" s="197">
        <f t="shared" si="17"/>
        <v>0.84730920990235237</v>
      </c>
      <c r="K106" s="197">
        <f t="shared" si="17"/>
        <v>0.82067422565547143</v>
      </c>
      <c r="L106" s="197">
        <f t="shared" si="17"/>
        <v>0.85951513748868114</v>
      </c>
      <c r="M106" s="197">
        <f t="shared" si="17"/>
        <v>0.90936904449923983</v>
      </c>
      <c r="N106" s="197">
        <f t="shared" si="17"/>
        <v>0.9841709203287845</v>
      </c>
      <c r="O106" s="197">
        <f t="shared" si="17"/>
        <v>1.0450265071313027</v>
      </c>
      <c r="P106" s="197">
        <f t="shared" si="17"/>
        <v>1.0750901465666933</v>
      </c>
      <c r="Q106" s="197">
        <f t="shared" si="17"/>
        <v>1.097013312062062</v>
      </c>
      <c r="R106" s="197">
        <f t="shared" si="17"/>
        <v>1.0554501424591165</v>
      </c>
      <c r="S106" s="197">
        <f t="shared" si="17"/>
        <v>1.069542087730702</v>
      </c>
      <c r="T106" s="197">
        <f t="shared" si="17"/>
        <v>1.0129118004585391</v>
      </c>
      <c r="U106" s="197" t="str">
        <f t="shared" si="9"/>
        <v>Austria</v>
      </c>
      <c r="V106" s="204">
        <f t="shared" si="10"/>
        <v>0.53977458034556536</v>
      </c>
      <c r="W106" s="179">
        <f t="shared" si="11"/>
        <v>2.4879775920984226E-2</v>
      </c>
      <c r="X106" s="179">
        <f t="shared" si="12"/>
        <v>2.3659800031125666E-2</v>
      </c>
      <c r="Y106" s="179">
        <f t="shared" si="13"/>
        <v>2.4269606341621008E-2</v>
      </c>
      <c r="Z106" s="205">
        <f t="shared" si="14"/>
        <v>-5.2948161574752128E-2</v>
      </c>
      <c r="AB106" s="206">
        <f t="shared" si="15"/>
        <v>1.0257739418631227</v>
      </c>
    </row>
    <row r="107" spans="1:28" x14ac:dyDescent="0.25">
      <c r="A107" s="168" t="s">
        <v>308</v>
      </c>
      <c r="B107" s="197">
        <f t="shared" si="17"/>
        <v>0.19354124830109193</v>
      </c>
      <c r="C107" s="197">
        <f t="shared" si="17"/>
        <v>0.19791447329136719</v>
      </c>
      <c r="D107" s="197">
        <f t="shared" si="17"/>
        <v>0.20201400049168311</v>
      </c>
      <c r="E107" s="197">
        <f t="shared" si="17"/>
        <v>0.19784940997094391</v>
      </c>
      <c r="F107" s="197">
        <f t="shared" si="17"/>
        <v>0.20742918521623863</v>
      </c>
      <c r="G107" s="197">
        <f t="shared" si="17"/>
        <v>0.21448605370207208</v>
      </c>
      <c r="H107" s="197">
        <f t="shared" si="17"/>
        <v>0.24038188214222136</v>
      </c>
      <c r="I107" s="197">
        <f t="shared" si="17"/>
        <v>0.25005602450621506</v>
      </c>
      <c r="J107" s="197">
        <f t="shared" si="17"/>
        <v>0.24655988561193995</v>
      </c>
      <c r="K107" s="197">
        <f t="shared" si="17"/>
        <v>0.27307535216802409</v>
      </c>
      <c r="L107" s="197">
        <f t="shared" si="17"/>
        <v>0.23811520175929984</v>
      </c>
      <c r="M107" s="197">
        <f t="shared" si="17"/>
        <v>0.24023659775832329</v>
      </c>
      <c r="N107" s="197">
        <f t="shared" si="17"/>
        <v>0.23539442569159927</v>
      </c>
      <c r="O107" s="197">
        <f t="shared" si="17"/>
        <v>0.26725255347988131</v>
      </c>
      <c r="P107" s="197">
        <f t="shared" si="17"/>
        <v>0.29643413899040311</v>
      </c>
      <c r="Q107" s="197">
        <f t="shared" si="17"/>
        <v>0.31657809596546954</v>
      </c>
      <c r="R107" s="197">
        <f t="shared" si="17"/>
        <v>0.35201878132366349</v>
      </c>
      <c r="S107" s="197">
        <f t="shared" si="17"/>
        <v>0.38701153105512454</v>
      </c>
      <c r="T107" s="197">
        <f t="shared" si="17"/>
        <v>0.41560366254892578</v>
      </c>
      <c r="U107" s="197" t="str">
        <f t="shared" si="9"/>
        <v>Poland</v>
      </c>
      <c r="V107" s="204">
        <f t="shared" si="10"/>
        <v>1.1473647927617558</v>
      </c>
      <c r="W107" s="179">
        <f t="shared" si="11"/>
        <v>3.899176931083459E-2</v>
      </c>
      <c r="X107" s="179">
        <f t="shared" si="12"/>
        <v>4.7770865460927459E-2</v>
      </c>
      <c r="Y107" s="207">
        <f t="shared" si="13"/>
        <v>4.3372083840464537E-2</v>
      </c>
      <c r="Z107" s="205">
        <f t="shared" si="14"/>
        <v>7.3879275420681623E-2</v>
      </c>
      <c r="AB107" s="206">
        <f t="shared" si="15"/>
        <v>0.9079191557862657</v>
      </c>
    </row>
    <row r="108" spans="1:28" x14ac:dyDescent="0.25">
      <c r="A108" s="168" t="s">
        <v>309</v>
      </c>
      <c r="B108" s="197">
        <f t="shared" si="17"/>
        <v>0.374149847013729</v>
      </c>
      <c r="C108" s="197">
        <f t="shared" si="17"/>
        <v>0.40108556883291319</v>
      </c>
      <c r="D108" s="197">
        <f t="shared" si="17"/>
        <v>0.43440673977691624</v>
      </c>
      <c r="E108" s="197">
        <f t="shared" si="17"/>
        <v>0.45004351556870853</v>
      </c>
      <c r="F108" s="197">
        <f t="shared" si="17"/>
        <v>0.47044268656806054</v>
      </c>
      <c r="G108" s="197">
        <f t="shared" si="17"/>
        <v>0.48604596862852284</v>
      </c>
      <c r="H108" s="197">
        <f t="shared" si="17"/>
        <v>0.51069481976824072</v>
      </c>
      <c r="I108" s="197">
        <f t="shared" si="17"/>
        <v>0.52469376647920651</v>
      </c>
      <c r="J108" s="197">
        <f t="shared" si="17"/>
        <v>0.56628799062919499</v>
      </c>
      <c r="K108" s="197">
        <f t="shared" si="17"/>
        <v>0.59760271154963551</v>
      </c>
      <c r="L108" s="197">
        <f t="shared" si="17"/>
        <v>0.64168622034261058</v>
      </c>
      <c r="M108" s="197">
        <f t="shared" si="17"/>
        <v>0.64094951786439602</v>
      </c>
      <c r="N108" s="197">
        <f t="shared" si="17"/>
        <v>0.69288066807753446</v>
      </c>
      <c r="O108" s="197">
        <f t="shared" si="17"/>
        <v>0.68383607343382857</v>
      </c>
      <c r="P108" s="197">
        <f t="shared" si="17"/>
        <v>0.69777754653242552</v>
      </c>
      <c r="Q108" s="197">
        <f t="shared" si="17"/>
        <v>0.6718424048045184</v>
      </c>
      <c r="R108" s="197">
        <f t="shared" si="17"/>
        <v>0.67760420648214226</v>
      </c>
      <c r="S108" s="197">
        <f t="shared" si="17"/>
        <v>0.68345457796160902</v>
      </c>
      <c r="T108" s="197">
        <f t="shared" si="17"/>
        <v>0.68556143940589065</v>
      </c>
      <c r="U108" s="197" t="str">
        <f t="shared" si="9"/>
        <v>Portugal</v>
      </c>
      <c r="V108" s="204">
        <f t="shared" si="10"/>
        <v>0.83231783970430095</v>
      </c>
      <c r="W108" s="179">
        <f t="shared" si="11"/>
        <v>5.3407320098154631E-2</v>
      </c>
      <c r="X108" s="179">
        <f t="shared" si="12"/>
        <v>1.5373863843399338E-2</v>
      </c>
      <c r="Y108" s="207">
        <f t="shared" si="13"/>
        <v>3.4215770914843402E-2</v>
      </c>
      <c r="Z108" s="205">
        <f t="shared" si="14"/>
        <v>3.0826649088595559E-3</v>
      </c>
      <c r="AB108" s="203">
        <f t="shared" si="15"/>
        <v>2.2255804567655062</v>
      </c>
    </row>
    <row r="109" spans="1:28" x14ac:dyDescent="0.25">
      <c r="A109" s="168" t="s">
        <v>310</v>
      </c>
      <c r="B109" s="197">
        <f t="shared" si="17"/>
        <v>0.18986364240494807</v>
      </c>
      <c r="C109" s="197">
        <f t="shared" si="17"/>
        <v>0.16272660455805238</v>
      </c>
      <c r="D109" s="197">
        <f t="shared" si="17"/>
        <v>0.17154730363193219</v>
      </c>
      <c r="E109" s="197">
        <f t="shared" si="17"/>
        <v>0.13991243422041269</v>
      </c>
      <c r="F109" s="197">
        <f t="shared" si="17"/>
        <v>0.14264973397473107</v>
      </c>
      <c r="G109" s="197">
        <f t="shared" si="17"/>
        <v>0.1345961152311817</v>
      </c>
      <c r="H109" s="197">
        <f t="shared" si="17"/>
        <v>0.1788035872828321</v>
      </c>
      <c r="I109" s="197">
        <f t="shared" si="17"/>
        <v>0.18364296088604207</v>
      </c>
      <c r="J109" s="197">
        <f t="shared" si="17"/>
        <v>0.17255544492336064</v>
      </c>
      <c r="K109" s="197">
        <f t="shared" si="17"/>
        <v>0.13944846265406977</v>
      </c>
      <c r="L109" s="197">
        <f t="shared" si="17"/>
        <v>0.15060908281428789</v>
      </c>
      <c r="M109" s="197">
        <f t="shared" si="17"/>
        <v>0.18162804262079904</v>
      </c>
      <c r="N109" s="197">
        <f t="shared" si="17"/>
        <v>0.19882306455639717</v>
      </c>
      <c r="O109" s="197">
        <f t="shared" si="17"/>
        <v>0.19956115835308813</v>
      </c>
      <c r="P109" s="197">
        <f t="shared" si="17"/>
        <v>0.23849384641659541</v>
      </c>
      <c r="Q109" s="197">
        <f t="shared" si="17"/>
        <v>0.19410368054560309</v>
      </c>
      <c r="R109" s="197">
        <f t="shared" si="17"/>
        <v>0.20096979145925123</v>
      </c>
      <c r="S109" s="197">
        <f t="shared" si="17"/>
        <v>0.21627518030389722</v>
      </c>
      <c r="T109" s="197">
        <f t="shared" si="17"/>
        <v>0.2433039505956418</v>
      </c>
      <c r="U109" s="197" t="str">
        <f t="shared" si="9"/>
        <v>Romania</v>
      </c>
      <c r="V109" s="204">
        <f t="shared" si="10"/>
        <v>0.28146678065258168</v>
      </c>
      <c r="W109" s="179">
        <f t="shared" si="11"/>
        <v>-3.3708873546461793E-2</v>
      </c>
      <c r="X109" s="179">
        <f t="shared" si="12"/>
        <v>6.3798790532353822E-2</v>
      </c>
      <c r="Y109" s="179">
        <f t="shared" si="13"/>
        <v>1.3873429784714064E-2</v>
      </c>
      <c r="Z109" s="205">
        <f t="shared" si="14"/>
        <v>0.12497398108171875</v>
      </c>
      <c r="AB109" s="206">
        <f t="shared" si="15"/>
        <v>0.21745599985439429</v>
      </c>
    </row>
    <row r="110" spans="1:28" x14ac:dyDescent="0.25">
      <c r="A110" s="168" t="s">
        <v>311</v>
      </c>
      <c r="B110" s="197">
        <f t="shared" si="17"/>
        <v>0.46584387618170314</v>
      </c>
      <c r="C110" s="197">
        <f t="shared" si="17"/>
        <v>0.42901179782444016</v>
      </c>
      <c r="D110" s="197">
        <f t="shared" si="17"/>
        <v>0.4437413953190536</v>
      </c>
      <c r="E110" s="197">
        <f t="shared" si="17"/>
        <v>0.53708870839944556</v>
      </c>
      <c r="F110" s="197">
        <f t="shared" si="17"/>
        <v>0.59967588347890433</v>
      </c>
      <c r="G110" s="197">
        <f t="shared" si="17"/>
        <v>0.66801475965794022</v>
      </c>
      <c r="H110" s="197">
        <f t="shared" si="17"/>
        <v>0.75316565725385454</v>
      </c>
      <c r="I110" s="197">
        <f t="shared" si="17"/>
        <v>0.7881271612474956</v>
      </c>
      <c r="J110" s="197">
        <f t="shared" si="17"/>
        <v>0.69574487272302254</v>
      </c>
      <c r="K110" s="197">
        <f t="shared" si="17"/>
        <v>0.66520617853203756</v>
      </c>
      <c r="L110" s="197">
        <f t="shared" si="17"/>
        <v>0.66004110164482033</v>
      </c>
      <c r="M110" s="197">
        <f t="shared" si="17"/>
        <v>0.68438978259318406</v>
      </c>
      <c r="N110" s="197">
        <f t="shared" si="17"/>
        <v>0.66247882424802884</v>
      </c>
      <c r="O110" s="197">
        <f t="shared" si="17"/>
        <v>0.67166808769579256</v>
      </c>
      <c r="P110" s="197">
        <f t="shared" si="17"/>
        <v>0.69323638709638635</v>
      </c>
      <c r="Q110" s="197">
        <f t="shared" si="17"/>
        <v>0.73838975966039078</v>
      </c>
      <c r="R110" s="197">
        <f t="shared" si="17"/>
        <v>0.77619676563050644</v>
      </c>
      <c r="S110" s="197">
        <f t="shared" si="17"/>
        <v>0.8724731729421894</v>
      </c>
      <c r="T110" s="197">
        <f t="shared" si="17"/>
        <v>1.0207589133593564</v>
      </c>
      <c r="U110" s="197" t="str">
        <f t="shared" si="9"/>
        <v>Slovenia</v>
      </c>
      <c r="V110" s="204">
        <f t="shared" si="10"/>
        <v>1.1912038894361419</v>
      </c>
      <c r="W110" s="179">
        <f t="shared" si="11"/>
        <v>4.0376787297933037E-2</v>
      </c>
      <c r="X110" s="179">
        <f t="shared" si="12"/>
        <v>4.8728304806233469E-2</v>
      </c>
      <c r="Y110" s="207">
        <f t="shared" si="13"/>
        <v>4.4544199401210793E-2</v>
      </c>
      <c r="Z110" s="205">
        <f t="shared" si="14"/>
        <v>0.16996022916912379</v>
      </c>
      <c r="AB110" s="203">
        <f t="shared" si="15"/>
        <v>0.91413398389989897</v>
      </c>
    </row>
    <row r="111" spans="1:28" x14ac:dyDescent="0.25">
      <c r="A111" s="168" t="s">
        <v>312</v>
      </c>
      <c r="B111" s="197">
        <f t="shared" si="17"/>
        <v>0.27233203023717661</v>
      </c>
      <c r="C111" s="197">
        <f t="shared" si="17"/>
        <v>0.23292549716977634</v>
      </c>
      <c r="D111" s="197">
        <f t="shared" si="17"/>
        <v>0.23603267220896559</v>
      </c>
      <c r="E111" s="197">
        <f t="shared" si="17"/>
        <v>0.20078450854369134</v>
      </c>
      <c r="F111" s="197">
        <f t="shared" si="17"/>
        <v>0.23761092335642295</v>
      </c>
      <c r="G111" s="197">
        <f t="shared" si="17"/>
        <v>0.26324598731901139</v>
      </c>
      <c r="H111" s="197">
        <f t="shared" si="17"/>
        <v>0.23920458885314066</v>
      </c>
      <c r="I111" s="197">
        <f t="shared" si="17"/>
        <v>0.27589119921947336</v>
      </c>
      <c r="J111" s="197">
        <f t="shared" si="17"/>
        <v>0.27804330273867084</v>
      </c>
      <c r="K111" s="197">
        <f t="shared" si="17"/>
        <v>0.27886027728056351</v>
      </c>
      <c r="L111" s="197">
        <f t="shared" si="17"/>
        <v>0.2693262416930729</v>
      </c>
      <c r="M111" s="197">
        <f t="shared" si="17"/>
        <v>0.27403968518529193</v>
      </c>
      <c r="N111" s="197">
        <f t="shared" si="17"/>
        <v>0.33315046000604953</v>
      </c>
      <c r="O111" s="197">
        <f t="shared" si="17"/>
        <v>0.29818776571290578</v>
      </c>
      <c r="P111" s="197">
        <f t="shared" si="17"/>
        <v>0.2947926349424439</v>
      </c>
      <c r="Q111" s="197">
        <f t="shared" si="17"/>
        <v>0.33223010899896038</v>
      </c>
      <c r="R111" s="197">
        <f t="shared" si="17"/>
        <v>0.33845594320471761</v>
      </c>
      <c r="S111" s="197">
        <f t="shared" si="17"/>
        <v>0.37470078168033927</v>
      </c>
      <c r="T111" s="197">
        <f t="shared" si="17"/>
        <v>0.39974093676761219</v>
      </c>
      <c r="U111" s="197" t="str">
        <f t="shared" si="9"/>
        <v>Slovakia</v>
      </c>
      <c r="V111" s="204">
        <f t="shared" si="10"/>
        <v>0.46784400064683518</v>
      </c>
      <c r="W111" s="179">
        <f t="shared" si="11"/>
        <v>2.6355599815388597E-3</v>
      </c>
      <c r="X111" s="179">
        <f t="shared" si="12"/>
        <v>4.0823012013733617E-2</v>
      </c>
      <c r="Y111" s="179">
        <f t="shared" si="13"/>
        <v>2.1550861921256326E-2</v>
      </c>
      <c r="Z111" s="205">
        <f t="shared" si="14"/>
        <v>6.6827069255048777E-2</v>
      </c>
      <c r="AB111" s="206">
        <f t="shared" si="15"/>
        <v>0.52790964846019239</v>
      </c>
    </row>
    <row r="112" spans="1:28" x14ac:dyDescent="0.25">
      <c r="A112" s="168" t="s">
        <v>313</v>
      </c>
      <c r="B112" s="197">
        <f t="shared" si="17"/>
        <v>0.86865044368316635</v>
      </c>
      <c r="C112" s="197">
        <f t="shared" si="17"/>
        <v>0.83925546936487472</v>
      </c>
      <c r="D112" s="197">
        <f t="shared" si="17"/>
        <v>0.82441804556848453</v>
      </c>
      <c r="E112" s="197">
        <f t="shared" si="17"/>
        <v>0.8081136589606055</v>
      </c>
      <c r="F112" s="197">
        <f t="shared" si="17"/>
        <v>0.83026251734965073</v>
      </c>
      <c r="G112" s="197">
        <f t="shared" si="17"/>
        <v>0.81627785925737939</v>
      </c>
      <c r="H112" s="197">
        <f t="shared" si="17"/>
        <v>0.7995190768652285</v>
      </c>
      <c r="I112" s="197">
        <f t="shared" si="17"/>
        <v>0.83821741434672814</v>
      </c>
      <c r="J112" s="197">
        <f t="shared" si="17"/>
        <v>0.84723223546722792</v>
      </c>
      <c r="K112" s="197">
        <f t="shared" si="17"/>
        <v>0.86517563414234233</v>
      </c>
      <c r="L112" s="197">
        <f t="shared" si="17"/>
        <v>0.86187192316364436</v>
      </c>
      <c r="M112" s="197">
        <f t="shared" si="17"/>
        <v>0.87780332997819965</v>
      </c>
      <c r="N112" s="197">
        <f t="shared" si="17"/>
        <v>0.87913128662124651</v>
      </c>
      <c r="O112" s="197">
        <f t="shared" si="17"/>
        <v>0.90332952704370384</v>
      </c>
      <c r="P112" s="197">
        <f t="shared" si="17"/>
        <v>0.92131166887495375</v>
      </c>
      <c r="Q112" s="197">
        <f t="shared" si="17"/>
        <v>0.92082455618719816</v>
      </c>
      <c r="R112" s="197">
        <f t="shared" si="17"/>
        <v>0.94147553647742022</v>
      </c>
      <c r="S112" s="197">
        <f t="shared" si="17"/>
        <v>0.97461509525853451</v>
      </c>
      <c r="T112" s="197">
        <f t="shared" si="17"/>
        <v>0.93519761591582951</v>
      </c>
      <c r="U112" s="197" t="str">
        <f t="shared" si="9"/>
        <v>Finland</v>
      </c>
      <c r="V112" s="204">
        <f t="shared" si="10"/>
        <v>7.6609840835971221E-2</v>
      </c>
      <c r="W112" s="179">
        <f t="shared" si="11"/>
        <v>-4.4526323430849057E-4</v>
      </c>
      <c r="X112" s="179">
        <f t="shared" si="12"/>
        <v>8.6847543541073158E-3</v>
      </c>
      <c r="Y112" s="179">
        <f t="shared" si="13"/>
        <v>4.10936860383182E-3</v>
      </c>
      <c r="Z112" s="205">
        <f t="shared" si="14"/>
        <v>-4.0444150243998389E-2</v>
      </c>
      <c r="AB112" s="206">
        <f t="shared" si="15"/>
        <v>0.47317038988999843</v>
      </c>
    </row>
    <row r="113" spans="1:28" x14ac:dyDescent="0.25">
      <c r="A113" s="168" t="s">
        <v>314</v>
      </c>
      <c r="B113" s="197">
        <f t="shared" si="17"/>
        <v>0.85328564815992991</v>
      </c>
      <c r="C113" s="197">
        <f t="shared" si="17"/>
        <v>0.836027159824134</v>
      </c>
      <c r="D113" s="197">
        <f t="shared" si="17"/>
        <v>0.86417125167165654</v>
      </c>
      <c r="E113" s="197">
        <f t="shared" si="17"/>
        <v>0.8419223487125479</v>
      </c>
      <c r="F113" s="197">
        <f t="shared" si="17"/>
        <v>0.86642716517312701</v>
      </c>
      <c r="G113" s="197">
        <f t="shared" si="17"/>
        <v>0.87110572921020546</v>
      </c>
      <c r="H113" s="197">
        <f t="shared" si="17"/>
        <v>0.86370619007918081</v>
      </c>
      <c r="I113" s="197">
        <f t="shared" si="17"/>
        <v>0.8718413558529432</v>
      </c>
      <c r="J113" s="197">
        <f t="shared" si="17"/>
        <v>0.88159251776606717</v>
      </c>
      <c r="K113" s="197">
        <f t="shared" si="17"/>
        <v>0.90554646646010839</v>
      </c>
      <c r="L113" s="197">
        <f t="shared" si="17"/>
        <v>0.91271991663644203</v>
      </c>
      <c r="M113" s="197">
        <f t="shared" si="17"/>
        <v>0.90782267557317564</v>
      </c>
      <c r="N113" s="197">
        <f t="shared" si="17"/>
        <v>0.89492484561901009</v>
      </c>
      <c r="O113" s="197">
        <f t="shared" si="17"/>
        <v>0.90461825065083745</v>
      </c>
      <c r="P113" s="197">
        <f t="shared" si="17"/>
        <v>0.93642034522213935</v>
      </c>
      <c r="Q113" s="197">
        <f t="shared" si="17"/>
        <v>0.95323785714793008</v>
      </c>
      <c r="R113" s="197">
        <f t="shared" si="17"/>
        <v>0.9466439840526133</v>
      </c>
      <c r="S113" s="197">
        <f t="shared" si="17"/>
        <v>0.95948133581660211</v>
      </c>
      <c r="T113" s="197">
        <f t="shared" si="17"/>
        <v>0.98606903877162477</v>
      </c>
      <c r="U113" s="197" t="str">
        <f t="shared" si="9"/>
        <v>Sweden</v>
      </c>
      <c r="V113" s="204">
        <f t="shared" si="10"/>
        <v>0.15561423176170375</v>
      </c>
      <c r="W113" s="179">
        <f t="shared" si="11"/>
        <v>6.626774505474442E-3</v>
      </c>
      <c r="X113" s="179">
        <f t="shared" si="12"/>
        <v>9.5102465266214686E-3</v>
      </c>
      <c r="Y113" s="179">
        <f t="shared" si="13"/>
        <v>8.0674795326547422E-3</v>
      </c>
      <c r="Z113" s="205">
        <f t="shared" si="14"/>
        <v>2.7710495204572361E-2</v>
      </c>
      <c r="AB113" s="206">
        <f t="shared" si="15"/>
        <v>0.84829341805934533</v>
      </c>
    </row>
    <row r="114" spans="1:28" x14ac:dyDescent="0.25">
      <c r="A114" s="168" t="s">
        <v>315</v>
      </c>
      <c r="B114" s="197">
        <f t="shared" si="17"/>
        <v>0.7967706896719442</v>
      </c>
      <c r="C114" s="197">
        <f t="shared" si="17"/>
        <v>0.78354396865517173</v>
      </c>
      <c r="D114" s="197">
        <f t="shared" si="17"/>
        <v>0.79780435228416724</v>
      </c>
      <c r="E114" s="197">
        <f t="shared" si="17"/>
        <v>0.81262171675899808</v>
      </c>
      <c r="F114" s="197">
        <f t="shared" si="17"/>
        <v>0.81378462943277674</v>
      </c>
      <c r="G114" s="197">
        <f t="shared" si="17"/>
        <v>0.81168763929092824</v>
      </c>
      <c r="H114" s="197">
        <f t="shared" si="17"/>
        <v>0.84300452983683316</v>
      </c>
      <c r="I114" s="197">
        <f t="shared" si="17"/>
        <v>0.85315224877656526</v>
      </c>
      <c r="J114" s="197">
        <f t="shared" si="17"/>
        <v>0.86004533707194408</v>
      </c>
      <c r="K114" s="197">
        <f t="shared" si="17"/>
        <v>0.88936975335391444</v>
      </c>
      <c r="L114" s="197">
        <f t="shared" si="17"/>
        <v>0.88979809661764442</v>
      </c>
      <c r="M114" s="197">
        <f t="shared" si="17"/>
        <v>0.87725749354900151</v>
      </c>
      <c r="N114" s="197">
        <f t="shared" si="17"/>
        <v>0.87882668380031403</v>
      </c>
      <c r="O114" s="197">
        <f t="shared" si="17"/>
        <v>0.88605345800342994</v>
      </c>
      <c r="P114" s="197">
        <f t="shared" si="17"/>
        <v>0.90305117796989298</v>
      </c>
      <c r="Q114" s="197">
        <f t="shared" si="17"/>
        <v>0.91918234962096179</v>
      </c>
      <c r="R114" s="197">
        <f t="shared" si="17"/>
        <v>0.92589610667207545</v>
      </c>
      <c r="S114" s="197">
        <f t="shared" si="17"/>
        <v>0.92457634045389447</v>
      </c>
      <c r="T114" s="197">
        <f t="shared" si="17"/>
        <v>0.89791873245401999</v>
      </c>
      <c r="U114" s="197" t="str">
        <f t="shared" si="9"/>
        <v>United Kingdom</v>
      </c>
      <c r="V114" s="204">
        <f t="shared" si="10"/>
        <v>0.1269474945466702</v>
      </c>
      <c r="W114" s="179">
        <f t="shared" si="11"/>
        <v>1.2291161808055007E-2</v>
      </c>
      <c r="X114" s="179">
        <f t="shared" si="12"/>
        <v>1.0635091530093455E-3</v>
      </c>
      <c r="Y114" s="179">
        <f t="shared" si="13"/>
        <v>6.6616823561669314E-3</v>
      </c>
      <c r="Z114" s="205">
        <f t="shared" si="14"/>
        <v>-2.8832241139533865E-2</v>
      </c>
      <c r="AB114" s="203">
        <f t="shared" si="15"/>
        <v>6.2638693210272658</v>
      </c>
    </row>
    <row r="115" spans="1:28" x14ac:dyDescent="0.25">
      <c r="A115" s="168" t="s">
        <v>317</v>
      </c>
      <c r="B115" s="197">
        <f t="shared" ref="B115:T119" si="18">B34/B79*1000</f>
        <v>0.16918729426305149</v>
      </c>
      <c r="C115" s="197">
        <f t="shared" si="18"/>
        <v>0.15913164094026716</v>
      </c>
      <c r="D115" s="197">
        <f t="shared" si="18"/>
        <v>0.15985109105761355</v>
      </c>
      <c r="E115" s="197">
        <f t="shared" si="18"/>
        <v>0.18653778293281054</v>
      </c>
      <c r="F115" s="197">
        <f t="shared" si="18"/>
        <v>0.17721648774131954</v>
      </c>
      <c r="G115" s="197">
        <f t="shared" si="18"/>
        <v>0.19495590323599352</v>
      </c>
      <c r="H115" s="197">
        <f t="shared" si="18"/>
        <v>0.2022534804306042</v>
      </c>
      <c r="I115" s="197">
        <f t="shared" si="18"/>
        <v>0.18765162816258876</v>
      </c>
      <c r="J115" s="197">
        <f t="shared" si="18"/>
        <v>0.17258216158538589</v>
      </c>
      <c r="K115" s="197">
        <f t="shared" si="18"/>
        <v>0.17736144689607816</v>
      </c>
      <c r="L115" s="197">
        <f t="shared" si="18"/>
        <v>0.18300351662463835</v>
      </c>
      <c r="M115" s="197">
        <f t="shared" si="18"/>
        <v>0.1726474658196091</v>
      </c>
      <c r="N115" s="197">
        <f t="shared" si="18"/>
        <v>0.18296562037497013</v>
      </c>
      <c r="O115" s="197">
        <f t="shared" si="18"/>
        <v>0.18110929183257007</v>
      </c>
      <c r="P115" s="197">
        <f t="shared" si="18"/>
        <v>0.18191589377520731</v>
      </c>
      <c r="Q115" s="197">
        <f t="shared" si="18"/>
        <v>0.18709675067908454</v>
      </c>
      <c r="R115" s="197">
        <f t="shared" si="18"/>
        <v>0.20522621808992925</v>
      </c>
      <c r="S115" s="197">
        <f t="shared" si="18"/>
        <v>0.24317952253644376</v>
      </c>
      <c r="T115" s="197">
        <f t="shared" si="18"/>
        <v>0.23027145681164898</v>
      </c>
      <c r="U115" s="197" t="str">
        <f t="shared" si="9"/>
        <v>Turkey</v>
      </c>
      <c r="V115" s="199">
        <f t="shared" si="10"/>
        <v>0.36104462107907564</v>
      </c>
      <c r="W115" s="179">
        <f t="shared" si="11"/>
        <v>5.2563633347000316E-3</v>
      </c>
      <c r="X115" s="201">
        <f t="shared" si="12"/>
        <v>2.9432502402260585E-2</v>
      </c>
      <c r="Y115" s="179">
        <f t="shared" si="13"/>
        <v>1.7272615213560272E-2</v>
      </c>
      <c r="Z115" s="205">
        <f t="shared" si="14"/>
        <v>-5.3080397519327804E-2</v>
      </c>
      <c r="AB115" s="206">
        <f t="shared" si="15"/>
        <v>0.58685513645736209</v>
      </c>
    </row>
    <row r="116" spans="1:28" x14ac:dyDescent="0.25">
      <c r="A116" s="168" t="s">
        <v>318</v>
      </c>
      <c r="B116" s="197">
        <f t="shared" si="18"/>
        <v>1.122997813109522</v>
      </c>
      <c r="C116" s="197">
        <f t="shared" si="18"/>
        <v>1.090414513847092</v>
      </c>
      <c r="D116" s="197">
        <f t="shared" si="18"/>
        <v>1.074204838156988</v>
      </c>
      <c r="E116" s="197">
        <f t="shared" si="18"/>
        <v>1.0518853902266128</v>
      </c>
      <c r="F116" s="197">
        <f t="shared" si="18"/>
        <v>1.0978480668819606</v>
      </c>
      <c r="G116" s="197">
        <f t="shared" si="18"/>
        <v>1.0225561656765727</v>
      </c>
      <c r="H116" s="197">
        <f t="shared" si="18"/>
        <v>1.1718254353294173</v>
      </c>
      <c r="I116" s="197">
        <f t="shared" si="18"/>
        <v>1.0782809755663754</v>
      </c>
      <c r="J116" s="197">
        <f t="shared" si="18"/>
        <v>1.1638109853477299</v>
      </c>
      <c r="K116" s="197">
        <f t="shared" si="18"/>
        <v>1.1969011142061281</v>
      </c>
      <c r="L116" s="197">
        <f t="shared" si="18"/>
        <v>1.2363420044508313</v>
      </c>
      <c r="M116" s="197">
        <f t="shared" si="18"/>
        <v>1.1610630961917836</v>
      </c>
      <c r="N116" s="197">
        <f t="shared" si="18"/>
        <v>1.102678181976795</v>
      </c>
      <c r="O116" s="197">
        <f t="shared" si="18"/>
        <v>1.1058303954296964</v>
      </c>
      <c r="P116" s="197">
        <f t="shared" si="18"/>
        <v>1.1873214715903224</v>
      </c>
      <c r="Q116" s="197">
        <f t="shared" si="18"/>
        <v>1.2262541002871479</v>
      </c>
      <c r="R116" s="197">
        <f t="shared" si="18"/>
        <v>1.5972469997432401</v>
      </c>
      <c r="S116" s="197"/>
      <c r="T116" s="197"/>
      <c r="U116" s="197" t="str">
        <f>+A116</f>
        <v>Iceland</v>
      </c>
      <c r="V116" s="199">
        <f>R116/B116-1</f>
        <v>0.42230642045557243</v>
      </c>
      <c r="W116" s="179">
        <f t="shared" si="11"/>
        <v>7.1066983975978104E-3</v>
      </c>
      <c r="X116" s="201">
        <f>((R116/K116)^(1/7))-1</f>
        <v>4.208218830944066E-2</v>
      </c>
      <c r="Y116" s="179">
        <f>((R116/B116)^(1/16))-1</f>
        <v>2.2261660713678078E-2</v>
      </c>
      <c r="Z116" s="205" t="e">
        <f t="shared" si="14"/>
        <v>#DIV/0!</v>
      </c>
      <c r="AB116" s="203">
        <f t="shared" si="15"/>
        <v>0.52900435096156651</v>
      </c>
    </row>
    <row r="117" spans="1:28" x14ac:dyDescent="0.25">
      <c r="A117" s="168" t="s">
        <v>319</v>
      </c>
      <c r="B117" s="197">
        <f t="shared" si="18"/>
        <v>0.97375077838641788</v>
      </c>
      <c r="C117" s="197">
        <f t="shared" si="18"/>
        <v>0.90568328615497562</v>
      </c>
      <c r="D117" s="197">
        <f t="shared" si="18"/>
        <v>0.92567590018237411</v>
      </c>
      <c r="E117" s="197">
        <f t="shared" si="18"/>
        <v>0.95995340492704739</v>
      </c>
      <c r="F117" s="197">
        <f t="shared" si="18"/>
        <v>0.958422498997067</v>
      </c>
      <c r="G117" s="197">
        <f t="shared" si="18"/>
        <v>0.94931250733026562</v>
      </c>
      <c r="H117" s="197">
        <f t="shared" si="18"/>
        <v>1.0148841281504601</v>
      </c>
      <c r="I117" s="197">
        <f t="shared" si="18"/>
        <v>1.0255618735934096</v>
      </c>
      <c r="J117" s="197">
        <f t="shared" si="18"/>
        <v>1.0526079890909068</v>
      </c>
      <c r="K117" s="197">
        <f t="shared" si="18"/>
        <v>1.0759608568904575</v>
      </c>
      <c r="L117" s="197">
        <f t="shared" si="18"/>
        <v>0.98693825182868267</v>
      </c>
      <c r="M117" s="197">
        <f t="shared" si="18"/>
        <v>1.0003472903800565</v>
      </c>
      <c r="N117" s="197">
        <f t="shared" si="18"/>
        <v>1.001532692051796</v>
      </c>
      <c r="O117" s="197">
        <f t="shared" si="18"/>
        <v>1.0144429614177775</v>
      </c>
      <c r="P117" s="197">
        <f t="shared" si="18"/>
        <v>1.0488356307880118</v>
      </c>
      <c r="Q117" s="197">
        <f t="shared" si="18"/>
        <v>1.0565819497942304</v>
      </c>
      <c r="R117" s="197">
        <f t="shared" si="18"/>
        <v>1.0883107025767533</v>
      </c>
      <c r="S117" s="197">
        <f t="shared" si="18"/>
        <v>1.137117630044344</v>
      </c>
      <c r="T117" s="197">
        <f t="shared" si="18"/>
        <v>1.08060274792698</v>
      </c>
      <c r="U117" s="197" t="str">
        <f t="shared" si="9"/>
        <v>Norway</v>
      </c>
      <c r="V117" s="199">
        <f t="shared" si="10"/>
        <v>0.10973235853800722</v>
      </c>
      <c r="W117" s="179">
        <f t="shared" si="11"/>
        <v>1.1152167490220188E-2</v>
      </c>
      <c r="X117" s="179">
        <f t="shared" si="12"/>
        <v>4.7843693283300404E-4</v>
      </c>
      <c r="Y117" s="179">
        <f t="shared" si="13"/>
        <v>5.8011433836520077E-3</v>
      </c>
      <c r="Z117" s="205">
        <f t="shared" si="14"/>
        <v>-4.9700119516360108E-2</v>
      </c>
      <c r="AB117" s="203">
        <f t="shared" si="15"/>
        <v>12.125199761024442</v>
      </c>
    </row>
    <row r="118" spans="1:28" x14ac:dyDescent="0.25">
      <c r="A118" s="168" t="s">
        <v>320</v>
      </c>
      <c r="B118" s="197">
        <f t="shared" si="18"/>
        <v>0.92270578451718277</v>
      </c>
      <c r="C118" s="197">
        <f t="shared" si="18"/>
        <v>0.92612489100495654</v>
      </c>
      <c r="D118" s="197">
        <f t="shared" si="18"/>
        <v>0.94318556467207426</v>
      </c>
      <c r="E118" s="197">
        <f t="shared" si="18"/>
        <v>0.89085647439424587</v>
      </c>
      <c r="F118" s="197">
        <f t="shared" si="18"/>
        <v>0.90922527864396852</v>
      </c>
      <c r="G118" s="197">
        <f t="shared" si="18"/>
        <v>0.89827367613622366</v>
      </c>
      <c r="H118" s="197">
        <f t="shared" si="18"/>
        <v>0.90196554859753553</v>
      </c>
      <c r="I118" s="197">
        <f t="shared" si="18"/>
        <v>0.93004917426715195</v>
      </c>
      <c r="J118" s="197">
        <f t="shared" si="18"/>
        <v>0.94427295843775738</v>
      </c>
      <c r="K118" s="197">
        <f t="shared" si="18"/>
        <v>0.94980906254856257</v>
      </c>
      <c r="L118" s="197">
        <f t="shared" si="18"/>
        <v>1.0101272338788607</v>
      </c>
      <c r="M118" s="197">
        <f t="shared" si="18"/>
        <v>0.98430675501505749</v>
      </c>
      <c r="N118" s="197">
        <f t="shared" si="18"/>
        <v>0.97151834576433027</v>
      </c>
      <c r="O118" s="197">
        <f t="shared" si="18"/>
        <v>0.95503696888630385</v>
      </c>
      <c r="P118" s="197">
        <f t="shared" si="18"/>
        <v>0.92719483638840505</v>
      </c>
      <c r="Q118" s="197">
        <f t="shared" si="18"/>
        <v>0.94523312019173844</v>
      </c>
      <c r="R118" s="197">
        <f t="shared" si="18"/>
        <v>0.95279233712037115</v>
      </c>
      <c r="S118" s="197">
        <f t="shared" si="18"/>
        <v>0.97033603112320188</v>
      </c>
      <c r="T118" s="197">
        <f t="shared" si="18"/>
        <v>0.9900580681304284</v>
      </c>
      <c r="U118" s="197" t="str">
        <f t="shared" si="9"/>
        <v>Switzerland</v>
      </c>
      <c r="V118" s="199">
        <f t="shared" si="10"/>
        <v>7.2994322506050535E-2</v>
      </c>
      <c r="W118" s="179">
        <f t="shared" si="11"/>
        <v>3.2219074352057842E-3</v>
      </c>
      <c r="X118" s="179">
        <f t="shared" si="12"/>
        <v>4.6220509305388013E-3</v>
      </c>
      <c r="Y118" s="179">
        <f t="shared" si="13"/>
        <v>3.9217350899438674E-3</v>
      </c>
      <c r="Z118" s="205">
        <f t="shared" si="14"/>
        <v>2.0324955865441252E-2</v>
      </c>
      <c r="AB118" s="203">
        <f t="shared" si="15"/>
        <v>0.84848374647544256</v>
      </c>
    </row>
    <row r="119" spans="1:28" x14ac:dyDescent="0.25">
      <c r="A119" s="193" t="s">
        <v>20</v>
      </c>
      <c r="B119" s="197">
        <f t="shared" si="18"/>
        <v>0.55973170169510844</v>
      </c>
      <c r="C119" s="197">
        <f t="shared" si="18"/>
        <v>0.55807800162251231</v>
      </c>
      <c r="D119" s="197">
        <f t="shared" si="18"/>
        <v>0.572454894367736</v>
      </c>
      <c r="E119" s="197">
        <f t="shared" si="18"/>
        <v>0.58144067423885748</v>
      </c>
      <c r="F119" s="197">
        <f t="shared" si="18"/>
        <v>0.58139229283737481</v>
      </c>
      <c r="G119" s="197">
        <f t="shared" si="18"/>
        <v>0.58853291288837861</v>
      </c>
      <c r="H119" s="197">
        <f t="shared" si="18"/>
        <v>0.60875566126964953</v>
      </c>
      <c r="I119" s="197">
        <f t="shared" si="18"/>
        <v>0.61705319471868103</v>
      </c>
      <c r="J119" s="197">
        <f t="shared" si="18"/>
        <v>0.63346734197498389</v>
      </c>
      <c r="K119" s="197">
        <f t="shared" si="18"/>
        <v>0.64822277682263496</v>
      </c>
      <c r="L119" s="197">
        <f t="shared" si="18"/>
        <v>0.65039098452956212</v>
      </c>
      <c r="M119" s="197">
        <f t="shared" si="18"/>
        <v>0.65257170284685095</v>
      </c>
      <c r="N119" s="197">
        <f t="shared" si="18"/>
        <v>0.65800167913522678</v>
      </c>
      <c r="O119" s="197">
        <f t="shared" si="18"/>
        <v>0.66309581351088831</v>
      </c>
      <c r="P119" s="197">
        <f t="shared" si="18"/>
        <v>0.6768390788569344</v>
      </c>
      <c r="Q119" s="197">
        <f t="shared" si="18"/>
        <v>0.67876797279022827</v>
      </c>
      <c r="R119" s="197">
        <f t="shared" si="18"/>
        <v>0.69136325024862055</v>
      </c>
      <c r="S119" s="197">
        <f t="shared" si="18"/>
        <v>0.70458695142230754</v>
      </c>
      <c r="T119" s="197">
        <f t="shared" si="18"/>
        <v>0.69487961069108273</v>
      </c>
      <c r="U119" s="197" t="str">
        <f t="shared" si="9"/>
        <v>EEA</v>
      </c>
      <c r="V119" s="204">
        <f>T119/B119-1</f>
        <v>0.24145123205758812</v>
      </c>
      <c r="W119" s="179">
        <f t="shared" si="11"/>
        <v>1.6442250557347382E-2</v>
      </c>
      <c r="X119" s="179">
        <f t="shared" si="12"/>
        <v>7.7525835086273975E-3</v>
      </c>
      <c r="Y119" s="179">
        <f t="shared" si="13"/>
        <v>1.2088091020979519E-2</v>
      </c>
      <c r="Z119" s="205">
        <f t="shared" si="14"/>
        <v>-1.3777349568607766E-2</v>
      </c>
      <c r="AB119" s="203">
        <f t="shared" si="15"/>
        <v>1.5592339002253104</v>
      </c>
    </row>
    <row r="120" spans="1:28" x14ac:dyDescent="0.25">
      <c r="A120" s="193" t="s">
        <v>336</v>
      </c>
      <c r="B120" s="197">
        <f>B4/B49*1000</f>
        <v>0.69650377232637084</v>
      </c>
      <c r="C120" s="197">
        <f t="shared" ref="C120:T120" si="19">C4/C49*1000</f>
        <v>0.70351311718449394</v>
      </c>
      <c r="D120" s="197">
        <f t="shared" si="19"/>
        <v>0.7239332485708847</v>
      </c>
      <c r="E120" s="197">
        <f t="shared" si="19"/>
        <v>0.73624223998881466</v>
      </c>
      <c r="F120" s="197">
        <f t="shared" si="19"/>
        <v>0.73635114041402927</v>
      </c>
      <c r="G120" s="197">
        <f t="shared" si="19"/>
        <v>0.74449465167838635</v>
      </c>
      <c r="H120" s="197">
        <f t="shared" si="19"/>
        <v>0.76520400191606019</v>
      </c>
      <c r="I120" s="197">
        <f t="shared" si="19"/>
        <v>0.77699147307921146</v>
      </c>
      <c r="J120" s="197">
        <f t="shared" si="19"/>
        <v>0.80379560688765239</v>
      </c>
      <c r="K120" s="197">
        <f t="shared" si="19"/>
        <v>0.82339519545440143</v>
      </c>
      <c r="L120" s="197">
        <f t="shared" si="19"/>
        <v>0.82919305841811408</v>
      </c>
      <c r="M120" s="197">
        <f t="shared" si="19"/>
        <v>0.82967275562177822</v>
      </c>
      <c r="N120" s="197">
        <f t="shared" si="19"/>
        <v>0.83249497094221458</v>
      </c>
      <c r="O120" s="197">
        <f t="shared" si="19"/>
        <v>0.83431647848001977</v>
      </c>
      <c r="P120" s="197">
        <f t="shared" si="19"/>
        <v>0.84747989033607152</v>
      </c>
      <c r="Q120" s="197">
        <f t="shared" si="19"/>
        <v>0.84553362258118103</v>
      </c>
      <c r="R120" s="197">
        <f t="shared" si="19"/>
        <v>0.85328693468313588</v>
      </c>
      <c r="S120" s="197">
        <f t="shared" si="19"/>
        <v>0.85332039637049673</v>
      </c>
      <c r="T120" s="197">
        <f t="shared" si="19"/>
        <v>0.83610694196225277</v>
      </c>
      <c r="U120" s="197" t="str">
        <f t="shared" si="9"/>
        <v>EU15</v>
      </c>
      <c r="V120" s="204">
        <f>T120/B120-1</f>
        <v>0.20043419028384823</v>
      </c>
      <c r="W120" s="179">
        <f>((K120/B120)^(1/9))-1</f>
        <v>1.876987655323048E-2</v>
      </c>
      <c r="X120" s="179">
        <f>((T120/K120)^(1/9))-1</f>
        <v>1.703699828075278E-3</v>
      </c>
      <c r="Y120" s="179">
        <f>((T120/B120)^(1/18))-1</f>
        <v>1.0200749661552377E-2</v>
      </c>
      <c r="Z120" s="202">
        <f t="shared" si="14"/>
        <v>-2.0172322707226353E-2</v>
      </c>
    </row>
    <row r="121" spans="1:28" x14ac:dyDescent="0.25">
      <c r="A121" s="193" t="s">
        <v>337</v>
      </c>
      <c r="B121" s="197">
        <f t="shared" ref="B121:S121" si="20">(B3-B4)/(B48-B49)*1000</f>
        <v>0.25851888298660802</v>
      </c>
      <c r="C121" s="197">
        <f t="shared" si="20"/>
        <v>0.23597363476699088</v>
      </c>
      <c r="D121" s="197">
        <f t="shared" si="20"/>
        <v>0.23715076974636118</v>
      </c>
      <c r="E121" s="197">
        <f t="shared" si="20"/>
        <v>0.22894728029785388</v>
      </c>
      <c r="F121" s="197">
        <f t="shared" si="20"/>
        <v>0.23436278714852807</v>
      </c>
      <c r="G121" s="197">
        <f t="shared" si="20"/>
        <v>0.23630498559808916</v>
      </c>
      <c r="H121" s="197">
        <f t="shared" si="20"/>
        <v>0.26378977970766648</v>
      </c>
      <c r="I121" s="197">
        <f t="shared" si="20"/>
        <v>0.27478929915108974</v>
      </c>
      <c r="J121" s="197">
        <f t="shared" si="20"/>
        <v>0.27167118573362359</v>
      </c>
      <c r="K121" s="197">
        <f t="shared" si="20"/>
        <v>0.27842396083884619</v>
      </c>
      <c r="L121" s="197">
        <f t="shared" si="20"/>
        <v>0.26718438941136341</v>
      </c>
      <c r="M121" s="197">
        <f t="shared" si="20"/>
        <v>0.2848153766886497</v>
      </c>
      <c r="N121" s="197">
        <f t="shared" si="20"/>
        <v>0.29576799089979555</v>
      </c>
      <c r="O121" s="197">
        <f t="shared" si="20"/>
        <v>0.31840844669211504</v>
      </c>
      <c r="P121" s="197">
        <f t="shared" si="20"/>
        <v>0.34468460745803603</v>
      </c>
      <c r="Q121" s="197">
        <f t="shared" si="20"/>
        <v>0.35699568435897855</v>
      </c>
      <c r="R121" s="197">
        <f t="shared" si="20"/>
        <v>0.38265254076007627</v>
      </c>
      <c r="S121" s="197">
        <f t="shared" si="20"/>
        <v>0.40992597696049404</v>
      </c>
      <c r="T121" s="197">
        <f>(T3-T4)/(T48-T49)*1000</f>
        <v>0.43129294977513205</v>
      </c>
      <c r="U121" s="197" t="str">
        <f t="shared" si="9"/>
        <v>EU12</v>
      </c>
      <c r="V121" s="204">
        <f>T121/B121-1</f>
        <v>0.66832281182908471</v>
      </c>
      <c r="W121" s="179">
        <f>((K121/B121)^(1/9))-1</f>
        <v>8.2758628921280053E-3</v>
      </c>
      <c r="X121" s="201">
        <f>((T121/K121)^(1/9))-1</f>
        <v>4.982864098239248E-2</v>
      </c>
      <c r="Y121" s="179">
        <f>((T121/B121)^(1/18))-1</f>
        <v>2.8842494687788323E-2</v>
      </c>
      <c r="Z121" s="202">
        <f t="shared" si="14"/>
        <v>5.212397851209416E-2</v>
      </c>
    </row>
    <row r="123" spans="1:28" ht="18.75" x14ac:dyDescent="0.3">
      <c r="A123" s="209" t="s">
        <v>338</v>
      </c>
    </row>
    <row r="124" spans="1:28" s="211" customFormat="1" ht="12" x14ac:dyDescent="0.2">
      <c r="A124" s="210" t="s">
        <v>339</v>
      </c>
    </row>
    <row r="126" spans="1:28" x14ac:dyDescent="0.25">
      <c r="A126" s="167" t="s">
        <v>323</v>
      </c>
      <c r="B126" s="167" t="s">
        <v>340</v>
      </c>
    </row>
    <row r="127" spans="1:28" x14ac:dyDescent="0.25">
      <c r="A127" s="167" t="s">
        <v>325</v>
      </c>
      <c r="B127" s="167" t="s">
        <v>341</v>
      </c>
    </row>
    <row r="128" spans="1:28" x14ac:dyDescent="0.25">
      <c r="A128" s="167" t="s">
        <v>327</v>
      </c>
      <c r="B128" s="167" t="s">
        <v>124</v>
      </c>
    </row>
    <row r="129" spans="1:27" x14ac:dyDescent="0.25">
      <c r="A129" s="212" t="s">
        <v>342</v>
      </c>
    </row>
    <row r="130" spans="1:27" x14ac:dyDescent="0.25">
      <c r="A130" s="167" t="s">
        <v>343</v>
      </c>
      <c r="C130" s="167" t="s">
        <v>344</v>
      </c>
      <c r="D130" s="167" t="s">
        <v>345</v>
      </c>
      <c r="E130" s="167" t="s">
        <v>346</v>
      </c>
      <c r="F130" s="167" t="s">
        <v>347</v>
      </c>
    </row>
    <row r="131" spans="1:27" x14ac:dyDescent="0.25">
      <c r="V131" s="213" t="s">
        <v>113</v>
      </c>
    </row>
    <row r="132" spans="1:27" x14ac:dyDescent="0.25">
      <c r="A132" s="168" t="s">
        <v>348</v>
      </c>
      <c r="B132" s="168" t="s">
        <v>349</v>
      </c>
      <c r="C132" s="168" t="s">
        <v>350</v>
      </c>
      <c r="D132" s="168" t="s">
        <v>351</v>
      </c>
      <c r="E132" s="168" t="s">
        <v>352</v>
      </c>
      <c r="F132" s="168" t="s">
        <v>353</v>
      </c>
      <c r="G132" s="168" t="s">
        <v>354</v>
      </c>
      <c r="H132" s="168" t="s">
        <v>355</v>
      </c>
      <c r="I132" s="168" t="s">
        <v>356</v>
      </c>
      <c r="J132" s="168" t="s">
        <v>357</v>
      </c>
      <c r="K132" s="168" t="s">
        <v>358</v>
      </c>
      <c r="L132" s="168" t="s">
        <v>359</v>
      </c>
      <c r="M132" s="168" t="s">
        <v>360</v>
      </c>
      <c r="N132" s="168" t="s">
        <v>361</v>
      </c>
      <c r="O132" s="168" t="s">
        <v>362</v>
      </c>
      <c r="P132" s="168" t="s">
        <v>363</v>
      </c>
      <c r="Q132" s="168" t="s">
        <v>364</v>
      </c>
      <c r="R132" s="168" t="s">
        <v>365</v>
      </c>
      <c r="S132" s="168" t="s">
        <v>366</v>
      </c>
      <c r="T132" s="168" t="s">
        <v>367</v>
      </c>
      <c r="V132" s="213" t="s">
        <v>333</v>
      </c>
    </row>
    <row r="133" spans="1:27" x14ac:dyDescent="0.25">
      <c r="A133" s="168" t="s">
        <v>286</v>
      </c>
      <c r="B133" s="214">
        <f>C133*C137/D137</f>
        <v>7384285.9462617394</v>
      </c>
      <c r="C133" s="214">
        <f>D133*D137/E137</f>
        <v>7484197.5939158285</v>
      </c>
      <c r="D133" s="214">
        <f>E133*E137/F137</f>
        <v>7558353.3501931122</v>
      </c>
      <c r="E133" s="214">
        <f>F133*F137/G137</f>
        <v>7546339.6975275297</v>
      </c>
      <c r="F133" s="214">
        <f>G133*G137/H137</f>
        <v>7767940.6436511725</v>
      </c>
      <c r="G133" s="192">
        <v>7980028.7000000002</v>
      </c>
      <c r="H133" s="192">
        <v>8126060.7999999998</v>
      </c>
      <c r="I133" s="192">
        <v>8347644.9000000004</v>
      </c>
      <c r="J133" s="192">
        <v>8596509.8000000007</v>
      </c>
      <c r="K133" s="192">
        <v>8858330.9000000004</v>
      </c>
      <c r="L133" s="192">
        <v>9203807.8000000007</v>
      </c>
      <c r="M133" s="192">
        <v>9386198.6999999993</v>
      </c>
      <c r="N133" s="192">
        <v>9503633.9000000004</v>
      </c>
      <c r="O133" s="192">
        <v>9632146.0999999996</v>
      </c>
      <c r="P133" s="192">
        <v>9874190</v>
      </c>
      <c r="Q133" s="192">
        <v>10068724.6</v>
      </c>
      <c r="R133" s="192">
        <v>10389629.4</v>
      </c>
      <c r="S133" s="192">
        <v>10691335.4</v>
      </c>
      <c r="T133" s="192">
        <v>10766851.1</v>
      </c>
      <c r="V133" s="215">
        <f>((T133/B133)^(1/18))-1</f>
        <v>2.1172004466226912E-2</v>
      </c>
      <c r="W133" s="167">
        <f>+T133/S133-1</f>
        <v>7.0632617137798004E-3</v>
      </c>
    </row>
    <row r="135" spans="1:27" ht="15.75" x14ac:dyDescent="0.25">
      <c r="A135" s="216" t="s">
        <v>368</v>
      </c>
      <c r="B135" s="217"/>
      <c r="C135" s="217"/>
      <c r="D135" s="217"/>
      <c r="E135" s="217" t="s">
        <v>369</v>
      </c>
      <c r="F135" s="184"/>
      <c r="G135" s="218" t="s">
        <v>370</v>
      </c>
      <c r="H135" s="218"/>
    </row>
    <row r="136" spans="1:27" x14ac:dyDescent="0.25">
      <c r="C136" s="167">
        <v>1990</v>
      </c>
      <c r="D136" s="167">
        <v>1991</v>
      </c>
      <c r="E136" s="167">
        <v>1992</v>
      </c>
      <c r="F136" s="167">
        <v>1993</v>
      </c>
      <c r="G136" s="167">
        <v>1994</v>
      </c>
      <c r="H136" s="167">
        <v>1995</v>
      </c>
      <c r="I136" s="167">
        <v>1996</v>
      </c>
      <c r="J136" s="167">
        <v>1997</v>
      </c>
      <c r="K136" s="167">
        <v>1998</v>
      </c>
      <c r="L136" s="167">
        <v>1999</v>
      </c>
      <c r="M136" s="167">
        <v>2000</v>
      </c>
      <c r="N136" s="167">
        <v>2001</v>
      </c>
      <c r="O136" s="167">
        <v>2002</v>
      </c>
      <c r="P136" s="167">
        <v>2003</v>
      </c>
      <c r="Q136" s="167">
        <v>2004</v>
      </c>
      <c r="R136" s="167">
        <v>2005</v>
      </c>
      <c r="S136" s="167">
        <v>2006</v>
      </c>
      <c r="T136" s="167">
        <v>2007</v>
      </c>
      <c r="U136" s="167">
        <v>2008</v>
      </c>
      <c r="V136" s="167">
        <v>2009</v>
      </c>
      <c r="W136" s="167">
        <v>2010</v>
      </c>
      <c r="X136" s="167">
        <v>2011</v>
      </c>
      <c r="AA136" s="173" t="s">
        <v>333</v>
      </c>
    </row>
    <row r="137" spans="1:27" x14ac:dyDescent="0.25">
      <c r="A137" s="173" t="s">
        <v>371</v>
      </c>
      <c r="C137" s="189">
        <v>7370.0226780343837</v>
      </c>
      <c r="D137" s="189">
        <v>7469.7413393063234</v>
      </c>
      <c r="E137" s="189">
        <v>7543.7538585191051</v>
      </c>
      <c r="F137" s="189">
        <v>7531.763411069518</v>
      </c>
      <c r="G137" s="189">
        <v>7752.9363193629633</v>
      </c>
      <c r="H137" s="189">
        <v>7964.6147126979895</v>
      </c>
      <c r="I137" s="189">
        <v>8117.8621746188519</v>
      </c>
      <c r="J137" s="189">
        <v>8342.6943783494098</v>
      </c>
      <c r="K137" s="189">
        <v>8592.2427694716225</v>
      </c>
      <c r="L137" s="189">
        <v>8855.9011972816243</v>
      </c>
      <c r="M137" s="189">
        <v>9202.003998256625</v>
      </c>
      <c r="N137" s="189">
        <v>9383.8261871675986</v>
      </c>
      <c r="O137" s="189">
        <v>9500.8595157602413</v>
      </c>
      <c r="P137" s="189">
        <v>9627.1551088237757</v>
      </c>
      <c r="Q137" s="189">
        <v>9869.0052541145669</v>
      </c>
      <c r="R137" s="189">
        <v>10062.075252059105</v>
      </c>
      <c r="S137" s="189">
        <v>10379.890665590268</v>
      </c>
      <c r="T137" s="189">
        <v>10673.825584476395</v>
      </c>
      <c r="U137" s="189">
        <v>10749.262909212694</v>
      </c>
      <c r="V137" s="189">
        <v>10296.042871600008</v>
      </c>
      <c r="W137" s="189">
        <v>10401.218056817537</v>
      </c>
      <c r="X137" s="189">
        <v>10579.14329004596</v>
      </c>
      <c r="AA137" s="205">
        <f>((U137/C137)^(1/18))-1</f>
        <v>2.1188942020303303E-2</v>
      </c>
    </row>
    <row r="138" spans="1:27" x14ac:dyDescent="0.25">
      <c r="A138" s="173" t="s">
        <v>113</v>
      </c>
      <c r="C138" s="189"/>
      <c r="D138" s="205">
        <f t="shared" ref="D138:U138" si="21">D137/C137-1</f>
        <v>1.3530305892971217E-2</v>
      </c>
      <c r="E138" s="205">
        <f t="shared" si="21"/>
        <v>9.9083108572075584E-3</v>
      </c>
      <c r="F138" s="219">
        <f t="shared" si="21"/>
        <v>-1.5894536956618799E-3</v>
      </c>
      <c r="G138" s="205">
        <f t="shared" si="21"/>
        <v>2.9365355259086456E-2</v>
      </c>
      <c r="H138" s="205">
        <f t="shared" si="21"/>
        <v>2.7302996518410616E-2</v>
      </c>
      <c r="I138" s="205">
        <f t="shared" si="21"/>
        <v>1.9241038951518963E-2</v>
      </c>
      <c r="J138" s="205">
        <f t="shared" si="21"/>
        <v>2.769598681208385E-2</v>
      </c>
      <c r="K138" s="205">
        <f t="shared" si="21"/>
        <v>2.991220579406928E-2</v>
      </c>
      <c r="L138" s="205">
        <f t="shared" si="21"/>
        <v>3.0685635274038559E-2</v>
      </c>
      <c r="M138" s="205">
        <f t="shared" si="21"/>
        <v>3.9081601438963665E-2</v>
      </c>
      <c r="N138" s="205">
        <f t="shared" si="21"/>
        <v>1.9758977386384657E-2</v>
      </c>
      <c r="O138" s="205">
        <f t="shared" si="21"/>
        <v>1.2471813336939919E-2</v>
      </c>
      <c r="P138" s="205">
        <f t="shared" si="21"/>
        <v>1.3293070258962647E-2</v>
      </c>
      <c r="Q138" s="205">
        <f t="shared" si="21"/>
        <v>2.5121662895939423E-2</v>
      </c>
      <c r="R138" s="205">
        <f t="shared" si="21"/>
        <v>1.9563268330822225E-2</v>
      </c>
      <c r="S138" s="205">
        <f t="shared" si="21"/>
        <v>3.1585473728804159E-2</v>
      </c>
      <c r="T138" s="205">
        <f t="shared" si="21"/>
        <v>2.8317727840865725E-2</v>
      </c>
      <c r="U138" s="219">
        <f t="shared" si="21"/>
        <v>7.0675058477638331E-3</v>
      </c>
      <c r="V138" s="189"/>
      <c r="W138" s="189"/>
      <c r="X138" s="189"/>
      <c r="AA138" s="205"/>
    </row>
    <row r="139" spans="1:27" customFormat="1" x14ac:dyDescent="0.25">
      <c r="T139" s="220">
        <f>((T137/C137)^(1/17))-1</f>
        <v>2.2025754363836691E-2</v>
      </c>
    </row>
  </sheetData>
  <conditionalFormatting sqref="X87:X121">
    <cfRule type="cellIs" dxfId="0" priority="1" stopIfTrue="1" operator="lessThan">
      <formula>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A35"/>
  <sheetViews>
    <sheetView topLeftCell="M1" workbookViewId="0">
      <selection activeCell="P20" sqref="P20"/>
    </sheetView>
  </sheetViews>
  <sheetFormatPr defaultColWidth="11.42578125" defaultRowHeight="15" x14ac:dyDescent="0.25"/>
  <cols>
    <col min="1" max="1" width="33.7109375" customWidth="1"/>
    <col min="2" max="2" width="11.42578125" customWidth="1"/>
    <col min="3" max="3" width="6.5703125" customWidth="1"/>
  </cols>
  <sheetData>
    <row r="6" spans="1:27" x14ac:dyDescent="0.25">
      <c r="A6" s="221" t="s">
        <v>372</v>
      </c>
    </row>
    <row r="8" spans="1:27" ht="15.75" thickBot="1" x14ac:dyDescent="0.3">
      <c r="A8" t="s">
        <v>373</v>
      </c>
      <c r="B8" t="s">
        <v>374</v>
      </c>
    </row>
    <row r="9" spans="1:27" s="226" customFormat="1" x14ac:dyDescent="0.2">
      <c r="A9" s="222" t="s">
        <v>375</v>
      </c>
      <c r="B9" s="223" t="s">
        <v>376</v>
      </c>
      <c r="C9" s="223" t="s">
        <v>241</v>
      </c>
      <c r="D9" s="224" t="s">
        <v>349</v>
      </c>
      <c r="E9" s="224" t="s">
        <v>350</v>
      </c>
      <c r="F9" s="224" t="s">
        <v>351</v>
      </c>
      <c r="G9" s="224" t="s">
        <v>352</v>
      </c>
      <c r="H9" s="224" t="s">
        <v>353</v>
      </c>
      <c r="I9" s="224" t="s">
        <v>354</v>
      </c>
      <c r="J9" s="224" t="s">
        <v>355</v>
      </c>
      <c r="K9" s="224" t="s">
        <v>356</v>
      </c>
      <c r="L9" s="224" t="s">
        <v>357</v>
      </c>
      <c r="M9" s="224" t="s">
        <v>358</v>
      </c>
      <c r="N9" s="224" t="s">
        <v>359</v>
      </c>
      <c r="O9" s="224" t="s">
        <v>360</v>
      </c>
      <c r="P9" s="224" t="s">
        <v>361</v>
      </c>
      <c r="Q9" s="224" t="s">
        <v>362</v>
      </c>
      <c r="R9" s="224" t="s">
        <v>363</v>
      </c>
      <c r="S9" s="224" t="s">
        <v>364</v>
      </c>
      <c r="T9" s="224" t="s">
        <v>365</v>
      </c>
      <c r="U9" s="224" t="s">
        <v>366</v>
      </c>
      <c r="V9" s="225" t="s">
        <v>367</v>
      </c>
      <c r="X9" s="226" t="s">
        <v>116</v>
      </c>
      <c r="Y9" s="226" t="s">
        <v>176</v>
      </c>
      <c r="Z9" s="226" t="s">
        <v>377</v>
      </c>
      <c r="AA9" s="226" t="s">
        <v>333</v>
      </c>
    </row>
    <row r="10" spans="1:27" s="226" customFormat="1" x14ac:dyDescent="0.25">
      <c r="A10" s="227" t="s">
        <v>378</v>
      </c>
      <c r="B10" s="226" t="s">
        <v>373</v>
      </c>
      <c r="C10" s="228" t="s">
        <v>379</v>
      </c>
      <c r="D10" s="229">
        <v>4076560.5375378202</v>
      </c>
      <c r="E10" s="229">
        <v>4050380.0702795601</v>
      </c>
      <c r="F10" s="229">
        <v>3912497.6419978798</v>
      </c>
      <c r="G10" s="229">
        <v>3859715.8575029201</v>
      </c>
      <c r="H10" s="229">
        <v>3818316.5567851001</v>
      </c>
      <c r="I10" s="229">
        <v>3856362.0208499702</v>
      </c>
      <c r="J10" s="229">
        <v>3969319.3568861401</v>
      </c>
      <c r="K10" s="229">
        <v>3870812.9949918799</v>
      </c>
      <c r="L10" s="229">
        <v>3866192.7443795502</v>
      </c>
      <c r="M10" s="229">
        <v>3809031.8616118999</v>
      </c>
      <c r="N10" s="229">
        <v>3818125.2351856199</v>
      </c>
      <c r="O10" s="229">
        <v>3905602.6268767002</v>
      </c>
      <c r="P10" s="229">
        <v>3876021.2440216402</v>
      </c>
      <c r="Q10" s="229">
        <v>3961005.21148651</v>
      </c>
      <c r="R10" s="229">
        <v>3958265.9520163201</v>
      </c>
      <c r="S10" s="229">
        <v>3935222.33406772</v>
      </c>
      <c r="T10" s="229">
        <v>3924843.5936703598</v>
      </c>
      <c r="U10" s="229">
        <v>3857232.0922590601</v>
      </c>
      <c r="V10" s="230">
        <v>3787300.6410103599</v>
      </c>
    </row>
    <row r="11" spans="1:27" s="226" customFormat="1" x14ac:dyDescent="0.25">
      <c r="A11" s="227" t="s">
        <v>380</v>
      </c>
      <c r="B11" s="226" t="s">
        <v>373</v>
      </c>
      <c r="C11" s="228" t="s">
        <v>379</v>
      </c>
      <c r="D11" s="229">
        <v>4056207.7176655498</v>
      </c>
      <c r="E11" s="229">
        <v>4029848.2771860999</v>
      </c>
      <c r="F11" s="229">
        <v>3891712.3132239101</v>
      </c>
      <c r="G11" s="229">
        <v>3838179.6771736899</v>
      </c>
      <c r="H11" s="229">
        <v>3796430.5601385902</v>
      </c>
      <c r="I11" s="229">
        <v>3833822.19100072</v>
      </c>
      <c r="J11" s="229">
        <v>3946155.1374698002</v>
      </c>
      <c r="K11" s="229">
        <v>3848678.7054494498</v>
      </c>
      <c r="L11" s="229">
        <v>3844997.88877963</v>
      </c>
      <c r="M11" s="229">
        <v>3789151.1363437101</v>
      </c>
      <c r="N11" s="229">
        <v>3798505.8881370402</v>
      </c>
      <c r="O11" s="229">
        <v>3885794.55677719</v>
      </c>
      <c r="P11" s="229">
        <v>3856139.0743378601</v>
      </c>
      <c r="Q11" s="229">
        <v>3940891.1962741101</v>
      </c>
      <c r="R11" s="229">
        <v>3938704.8905755598</v>
      </c>
      <c r="S11" s="229">
        <v>3915482.73599762</v>
      </c>
      <c r="T11" s="229">
        <v>3905024.0779905701</v>
      </c>
      <c r="U11" s="229">
        <v>3837591.1286016898</v>
      </c>
      <c r="V11" s="230">
        <v>3768327.1170099098</v>
      </c>
    </row>
    <row r="12" spans="1:27" s="226" customFormat="1" ht="8.25" customHeight="1" x14ac:dyDescent="0.25">
      <c r="A12" s="227"/>
      <c r="C12" s="228"/>
      <c r="D12" s="229"/>
      <c r="E12" s="229"/>
      <c r="F12" s="229"/>
      <c r="G12" s="229"/>
      <c r="H12" s="229"/>
      <c r="I12" s="229"/>
      <c r="J12" s="229"/>
      <c r="K12" s="229"/>
      <c r="L12" s="229"/>
      <c r="M12" s="229"/>
      <c r="N12" s="229"/>
      <c r="O12" s="229"/>
      <c r="P12" s="229"/>
      <c r="Q12" s="229"/>
      <c r="R12" s="229"/>
      <c r="S12" s="229"/>
      <c r="T12" s="229"/>
      <c r="U12" s="229"/>
      <c r="V12" s="231"/>
    </row>
    <row r="13" spans="1:27" x14ac:dyDescent="0.25">
      <c r="A13" s="227" t="s">
        <v>381</v>
      </c>
      <c r="B13" s="226" t="s">
        <v>373</v>
      </c>
      <c r="C13" s="228" t="s">
        <v>379</v>
      </c>
      <c r="D13" s="232">
        <v>1672441.9155341601</v>
      </c>
      <c r="E13" s="232">
        <v>1647929.8581343</v>
      </c>
      <c r="F13" s="232">
        <v>1571540.41994645</v>
      </c>
      <c r="G13" s="232">
        <v>1510082.9166604299</v>
      </c>
      <c r="H13" s="232">
        <v>1508345.5461021899</v>
      </c>
      <c r="I13" s="232">
        <v>1506172.7757180999</v>
      </c>
      <c r="J13" s="232">
        <v>1533335.1293099099</v>
      </c>
      <c r="K13" s="232">
        <v>1481842.9502548301</v>
      </c>
      <c r="L13" s="232">
        <v>1497786.6674331301</v>
      </c>
      <c r="M13" s="232">
        <v>1458173.27010909</v>
      </c>
      <c r="N13" s="232">
        <v>1490356.40096516</v>
      </c>
      <c r="O13" s="232">
        <v>1522272.4522694901</v>
      </c>
      <c r="P13" s="232">
        <v>1543802.03340033</v>
      </c>
      <c r="Q13" s="232">
        <v>1596153.05672594</v>
      </c>
      <c r="R13" s="232">
        <v>1583396.44068177</v>
      </c>
      <c r="S13" s="232">
        <v>1573790.5401836999</v>
      </c>
      <c r="T13" s="232">
        <v>1580280.16478241</v>
      </c>
      <c r="U13" s="232">
        <v>1591943.73616692</v>
      </c>
      <c r="V13" s="233">
        <v>1513559.15152928</v>
      </c>
    </row>
    <row r="14" spans="1:27" x14ac:dyDescent="0.25">
      <c r="A14" s="227" t="s">
        <v>382</v>
      </c>
      <c r="B14" s="226" t="s">
        <v>373</v>
      </c>
      <c r="C14" s="228" t="s">
        <v>379</v>
      </c>
      <c r="D14" s="232">
        <v>801807.43545552203</v>
      </c>
      <c r="E14" s="232">
        <v>759392.21152664104</v>
      </c>
      <c r="F14" s="232">
        <v>716690.78834001499</v>
      </c>
      <c r="G14" s="232">
        <v>709113.52300204395</v>
      </c>
      <c r="H14" s="232">
        <v>711269.15888837504</v>
      </c>
      <c r="I14" s="232">
        <v>729259.60075019498</v>
      </c>
      <c r="J14" s="232">
        <v>729117.43181257602</v>
      </c>
      <c r="K14" s="232">
        <v>721948.01069782698</v>
      </c>
      <c r="L14" s="232">
        <v>690647.84284419601</v>
      </c>
      <c r="M14" s="232">
        <v>673256.34886587295</v>
      </c>
      <c r="N14" s="232">
        <v>675702.70943973598</v>
      </c>
      <c r="O14" s="232">
        <v>668983.20278817904</v>
      </c>
      <c r="P14" s="232">
        <v>643778.13760214997</v>
      </c>
      <c r="Q14" s="232">
        <v>650705.32359653094</v>
      </c>
      <c r="R14" s="232">
        <v>645897.52942190506</v>
      </c>
      <c r="S14" s="232">
        <v>637213.16386358498</v>
      </c>
      <c r="T14" s="232">
        <v>633180.87951337395</v>
      </c>
      <c r="U14" s="232">
        <v>620453.58585500799</v>
      </c>
      <c r="V14" s="233">
        <v>599944.92604419403</v>
      </c>
    </row>
    <row r="15" spans="1:27" x14ac:dyDescent="0.25">
      <c r="A15" s="227" t="s">
        <v>383</v>
      </c>
      <c r="B15" s="226" t="s">
        <v>373</v>
      </c>
      <c r="C15" s="228" t="s">
        <v>379</v>
      </c>
      <c r="D15" s="232">
        <v>789220.72532764601</v>
      </c>
      <c r="E15" s="232">
        <v>829614.911110688</v>
      </c>
      <c r="F15" s="232">
        <v>790012.87886482303</v>
      </c>
      <c r="G15" s="232">
        <v>798968.47011384601</v>
      </c>
      <c r="H15" s="232">
        <v>751597.69381504995</v>
      </c>
      <c r="I15" s="232">
        <v>760497.63654288801</v>
      </c>
      <c r="J15" s="232">
        <v>822417.21486191102</v>
      </c>
      <c r="K15" s="232">
        <v>774382.15048901399</v>
      </c>
      <c r="L15" s="232">
        <v>758986.82863109803</v>
      </c>
      <c r="M15" s="232">
        <v>744131.53098168899</v>
      </c>
      <c r="N15" s="232">
        <v>719654.75413079502</v>
      </c>
      <c r="O15" s="232">
        <v>769515.52277836902</v>
      </c>
      <c r="P15" s="232">
        <v>731054.82337920903</v>
      </c>
      <c r="Q15" s="232">
        <v>747206.41411304299</v>
      </c>
      <c r="R15" s="232">
        <v>742714.63726651506</v>
      </c>
      <c r="S15" s="232">
        <v>738566.39440510701</v>
      </c>
      <c r="T15" s="232">
        <v>719524.16424767405</v>
      </c>
      <c r="U15" s="232">
        <v>648034.61951718305</v>
      </c>
      <c r="V15" s="233">
        <v>694639.00867934304</v>
      </c>
    </row>
    <row r="16" spans="1:27" x14ac:dyDescent="0.25">
      <c r="A16" s="227" t="s">
        <v>384</v>
      </c>
      <c r="B16" s="226" t="s">
        <v>373</v>
      </c>
      <c r="C16" s="228" t="s">
        <v>379</v>
      </c>
      <c r="D16" s="232">
        <v>25693.407923409399</v>
      </c>
      <c r="E16" s="232">
        <v>21285.834272708798</v>
      </c>
      <c r="F16" s="232">
        <v>18270.417343391098</v>
      </c>
      <c r="G16" s="232">
        <v>17492.520031669501</v>
      </c>
      <c r="H16" s="232">
        <v>16945.346797358299</v>
      </c>
      <c r="I16" s="232">
        <v>15192.3952367536</v>
      </c>
      <c r="J16" s="232">
        <v>13882.8842938548</v>
      </c>
      <c r="K16" s="232">
        <v>13346.4235351591</v>
      </c>
      <c r="L16" s="232">
        <v>12964.531382799099</v>
      </c>
      <c r="M16" s="232">
        <v>12288.5241870146</v>
      </c>
      <c r="N16" s="232">
        <v>11464.581606486299</v>
      </c>
      <c r="O16" s="232">
        <v>10219.286460093001</v>
      </c>
      <c r="P16" s="232">
        <v>10051.389197885799</v>
      </c>
      <c r="Q16" s="232">
        <v>10288.4982741394</v>
      </c>
      <c r="R16" s="232">
        <v>10791.695263601599</v>
      </c>
      <c r="S16" s="232">
        <v>10439.7419816491</v>
      </c>
      <c r="T16" s="232">
        <v>9636.2445212515304</v>
      </c>
      <c r="U16" s="232">
        <v>9374.1539925337602</v>
      </c>
      <c r="V16" s="233">
        <v>9455.6371175439308</v>
      </c>
    </row>
    <row r="17" spans="1:27" s="226" customFormat="1" ht="8.25" customHeight="1" x14ac:dyDescent="0.25">
      <c r="A17" s="227"/>
      <c r="C17" s="228"/>
      <c r="D17" s="229"/>
      <c r="E17" s="229"/>
      <c r="F17" s="229"/>
      <c r="G17" s="229"/>
      <c r="H17" s="229"/>
      <c r="I17" s="229"/>
      <c r="J17" s="229"/>
      <c r="K17" s="229"/>
      <c r="L17" s="229"/>
      <c r="M17" s="229"/>
      <c r="N17" s="229"/>
      <c r="O17" s="229"/>
      <c r="P17" s="229"/>
      <c r="Q17" s="229"/>
      <c r="R17" s="229"/>
      <c r="S17" s="229"/>
      <c r="T17" s="229"/>
      <c r="U17" s="229"/>
      <c r="V17" s="231"/>
    </row>
    <row r="18" spans="1:27" s="226" customFormat="1" x14ac:dyDescent="0.25">
      <c r="A18" s="234" t="s">
        <v>385</v>
      </c>
      <c r="B18" s="226" t="s">
        <v>373</v>
      </c>
      <c r="C18" s="228" t="s">
        <v>379</v>
      </c>
      <c r="D18" s="235">
        <v>767044.23342480604</v>
      </c>
      <c r="E18" s="235">
        <v>771625.462141764</v>
      </c>
      <c r="F18" s="235">
        <v>795197.80872922298</v>
      </c>
      <c r="G18" s="235">
        <v>802522.24736569705</v>
      </c>
      <c r="H18" s="235">
        <v>808272.81453561096</v>
      </c>
      <c r="I18" s="235">
        <v>822699.78275278897</v>
      </c>
      <c r="J18" s="235">
        <v>847402.47719154297</v>
      </c>
      <c r="K18" s="235">
        <v>857159.17047262006</v>
      </c>
      <c r="L18" s="235">
        <v>884612.018488409</v>
      </c>
      <c r="M18" s="235">
        <v>901301.46220003895</v>
      </c>
      <c r="N18" s="235">
        <v>901327.441994861</v>
      </c>
      <c r="O18" s="235">
        <v>914804.09248105797</v>
      </c>
      <c r="P18" s="235">
        <v>927452.69075828302</v>
      </c>
      <c r="Q18" s="235">
        <v>936537.90356445301</v>
      </c>
      <c r="R18" s="235">
        <v>955904.587941768</v>
      </c>
      <c r="S18" s="235">
        <v>955472.89556357998</v>
      </c>
      <c r="T18" s="235">
        <v>962402.62492585694</v>
      </c>
      <c r="U18" s="235">
        <v>967785.03307004704</v>
      </c>
      <c r="V18" s="236">
        <v>950728.39363954496</v>
      </c>
      <c r="W18" s="237">
        <f>+V18/U18-1</f>
        <v>-1.7624409189708534E-2</v>
      </c>
      <c r="X18" s="238">
        <f>((N18/D18)^(1/10))-1</f>
        <v>1.6263244163676749E-2</v>
      </c>
      <c r="Y18" s="238">
        <f>((U18/N18)^(1/7))-1</f>
        <v>1.0214873104000821E-2</v>
      </c>
      <c r="Z18" s="238">
        <f>V18/U18-1</f>
        <v>-1.7624409189708534E-2</v>
      </c>
      <c r="AA18" s="238">
        <f>((V18/D18)^(1/18))-1</f>
        <v>1.1998295061283137E-2</v>
      </c>
    </row>
    <row r="19" spans="1:27" s="226" customFormat="1" x14ac:dyDescent="0.25">
      <c r="A19" s="239" t="s">
        <v>386</v>
      </c>
      <c r="B19" s="226" t="s">
        <v>373</v>
      </c>
      <c r="C19" s="228" t="s">
        <v>379</v>
      </c>
      <c r="D19" s="235">
        <v>17246.9339194204</v>
      </c>
      <c r="E19" s="235">
        <v>16286.918369937201</v>
      </c>
      <c r="F19" s="235">
        <v>16548.751275670202</v>
      </c>
      <c r="G19" s="235">
        <v>15980.780401635</v>
      </c>
      <c r="H19" s="235">
        <v>15618.918075690901</v>
      </c>
      <c r="I19" s="235">
        <v>16766.997061096401</v>
      </c>
      <c r="J19" s="235">
        <v>18124.377676622</v>
      </c>
      <c r="K19" s="235">
        <v>18948.208565141402</v>
      </c>
      <c r="L19" s="235">
        <v>19863.163262932801</v>
      </c>
      <c r="M19" s="235">
        <v>21233.748697806601</v>
      </c>
      <c r="N19" s="235">
        <v>21956.2449414865</v>
      </c>
      <c r="O19" s="235">
        <v>21082.031641957601</v>
      </c>
      <c r="P19" s="235">
        <v>20115.108577655399</v>
      </c>
      <c r="Q19" s="235">
        <v>19946.470701516999</v>
      </c>
      <c r="R19" s="235">
        <v>20522.812571546299</v>
      </c>
      <c r="S19" s="235">
        <v>21776.6648393537</v>
      </c>
      <c r="T19" s="235">
        <v>22024.617792136902</v>
      </c>
      <c r="U19" s="235">
        <v>22431.127067498201</v>
      </c>
      <c r="V19" s="236">
        <v>21783.1471447933</v>
      </c>
    </row>
    <row r="20" spans="1:27" s="226" customFormat="1" x14ac:dyDescent="0.25">
      <c r="A20" s="239" t="s">
        <v>387</v>
      </c>
      <c r="B20" s="226" t="s">
        <v>373</v>
      </c>
      <c r="C20" s="228" t="s">
        <v>379</v>
      </c>
      <c r="D20" s="235">
        <v>704796.02067465405</v>
      </c>
      <c r="E20" s="235">
        <v>712480.07574841997</v>
      </c>
      <c r="F20" s="235">
        <v>737753.52795590099</v>
      </c>
      <c r="G20" s="235">
        <v>746989.72420008294</v>
      </c>
      <c r="H20" s="235">
        <v>753856.42059951799</v>
      </c>
      <c r="I20" s="235">
        <v>767902.41824743105</v>
      </c>
      <c r="J20" s="235">
        <v>790108.79241882695</v>
      </c>
      <c r="K20" s="235">
        <v>799896.73730004404</v>
      </c>
      <c r="L20" s="235">
        <v>825780.19562786003</v>
      </c>
      <c r="M20" s="235">
        <v>841818.61335761205</v>
      </c>
      <c r="N20" s="235">
        <v>842501.70240207505</v>
      </c>
      <c r="O20" s="235">
        <v>857688.55900439003</v>
      </c>
      <c r="P20" s="235">
        <v>871053.15565915697</v>
      </c>
      <c r="Q20" s="235">
        <v>879025.78183464904</v>
      </c>
      <c r="R20" s="235">
        <v>897337.48937386298</v>
      </c>
      <c r="S20" s="235">
        <v>895194.47645304899</v>
      </c>
      <c r="T20" s="235">
        <v>900379.53551587497</v>
      </c>
      <c r="U20" s="235">
        <v>906179.12271483801</v>
      </c>
      <c r="V20" s="236">
        <v>889752.35225379502</v>
      </c>
    </row>
    <row r="21" spans="1:27" s="226" customFormat="1" x14ac:dyDescent="0.25">
      <c r="A21" s="239" t="s">
        <v>388</v>
      </c>
      <c r="B21" s="226" t="s">
        <v>373</v>
      </c>
      <c r="C21" s="228" t="s">
        <v>379</v>
      </c>
      <c r="D21" s="235">
        <v>14113.3219190123</v>
      </c>
      <c r="E21" s="235">
        <v>12325.394071970501</v>
      </c>
      <c r="F21" s="235">
        <v>11668.7804147857</v>
      </c>
      <c r="G21" s="235">
        <v>10872.503299673501</v>
      </c>
      <c r="H21" s="235">
        <v>10286.0336818248</v>
      </c>
      <c r="I21" s="235">
        <v>10166.2355857441</v>
      </c>
      <c r="J21" s="235">
        <v>10164.905288608599</v>
      </c>
      <c r="K21" s="235">
        <v>9742.9041573023005</v>
      </c>
      <c r="L21" s="235">
        <v>9606.0162215516903</v>
      </c>
      <c r="M21" s="235">
        <v>9151.2205016935804</v>
      </c>
      <c r="N21" s="235">
        <v>9349.8667500267002</v>
      </c>
      <c r="O21" s="235">
        <v>8615.3265163653396</v>
      </c>
      <c r="P21" s="235">
        <v>8647.25667148721</v>
      </c>
      <c r="Q21" s="235">
        <v>8573.7541854285791</v>
      </c>
      <c r="R21" s="235">
        <v>8568.2670152487499</v>
      </c>
      <c r="S21" s="235">
        <v>7942.2969803626802</v>
      </c>
      <c r="T21" s="235">
        <v>7844.8745439777003</v>
      </c>
      <c r="U21" s="235">
        <v>8089.7547809750104</v>
      </c>
      <c r="V21" s="236">
        <v>7767.1101265265297</v>
      </c>
    </row>
    <row r="22" spans="1:27" s="226" customFormat="1" x14ac:dyDescent="0.25">
      <c r="A22" s="239" t="s">
        <v>389</v>
      </c>
      <c r="B22" s="226" t="s">
        <v>373</v>
      </c>
      <c r="C22" s="228" t="s">
        <v>379</v>
      </c>
      <c r="D22" s="235">
        <v>20055.40861169</v>
      </c>
      <c r="E22" s="235">
        <v>20260.971789750602</v>
      </c>
      <c r="F22" s="235">
        <v>20021.239248211099</v>
      </c>
      <c r="G22" s="235">
        <v>19775.007243584299</v>
      </c>
      <c r="H22" s="235">
        <v>19723.789298777199</v>
      </c>
      <c r="I22" s="235">
        <v>18760.640820666998</v>
      </c>
      <c r="J22" s="235">
        <v>19334.240085167501</v>
      </c>
      <c r="K22" s="235">
        <v>19270.239634449801</v>
      </c>
      <c r="L22" s="235">
        <v>20015.378828993398</v>
      </c>
      <c r="M22" s="235">
        <v>19958.993643369002</v>
      </c>
      <c r="N22" s="235">
        <v>18181.086248025698</v>
      </c>
      <c r="O22" s="235">
        <v>18370.0249154462</v>
      </c>
      <c r="P22" s="235">
        <v>17928.1068053544</v>
      </c>
      <c r="Q22" s="235">
        <v>19915.151595171501</v>
      </c>
      <c r="R22" s="235">
        <v>20130.5343620735</v>
      </c>
      <c r="S22" s="235">
        <v>20751.110835285301</v>
      </c>
      <c r="T22" s="235">
        <v>22165.267896742302</v>
      </c>
      <c r="U22" s="235">
        <v>21663.074431401001</v>
      </c>
      <c r="V22" s="236">
        <v>21815.848091476</v>
      </c>
    </row>
    <row r="23" spans="1:27" s="226" customFormat="1" ht="15.75" thickBot="1" x14ac:dyDescent="0.3">
      <c r="A23" s="240" t="s">
        <v>390</v>
      </c>
      <c r="B23" s="241" t="s">
        <v>373</v>
      </c>
      <c r="C23" s="242" t="s">
        <v>379</v>
      </c>
      <c r="D23" s="243">
        <v>10832.548300029201</v>
      </c>
      <c r="E23" s="243">
        <v>10272.102161685099</v>
      </c>
      <c r="F23" s="243">
        <v>9205.5098346558007</v>
      </c>
      <c r="G23" s="243">
        <v>8904.2322207215493</v>
      </c>
      <c r="H23" s="243">
        <v>8787.6528798001</v>
      </c>
      <c r="I23" s="243">
        <v>9103.4910378498807</v>
      </c>
      <c r="J23" s="243">
        <v>9670.1617223177109</v>
      </c>
      <c r="K23" s="243">
        <v>9301.0808156821804</v>
      </c>
      <c r="L23" s="243">
        <v>9347.2645470717507</v>
      </c>
      <c r="M23" s="243">
        <v>9138.8859995575094</v>
      </c>
      <c r="N23" s="243">
        <v>9338.5416532469098</v>
      </c>
      <c r="O23" s="243">
        <v>9048.15040289834</v>
      </c>
      <c r="P23" s="243">
        <v>9709.0630446291507</v>
      </c>
      <c r="Q23" s="243">
        <v>9076.7452476864892</v>
      </c>
      <c r="R23" s="243">
        <v>9345.4846190367007</v>
      </c>
      <c r="S23" s="243">
        <v>9808.3464555284299</v>
      </c>
      <c r="T23" s="243">
        <v>9988.3291771254608</v>
      </c>
      <c r="U23" s="243">
        <v>9421.9540753343608</v>
      </c>
      <c r="V23" s="244">
        <v>9609.9360229546401</v>
      </c>
    </row>
    <row r="24" spans="1:27" x14ac:dyDescent="0.25">
      <c r="D24" s="245"/>
    </row>
    <row r="25" spans="1:27" x14ac:dyDescent="0.25">
      <c r="A25" s="246"/>
    </row>
    <row r="26" spans="1:27" x14ac:dyDescent="0.25">
      <c r="A26" s="246" t="s">
        <v>391</v>
      </c>
      <c r="D26" s="247">
        <f t="shared" ref="D26:U26" si="0">D18/D11</f>
        <v>0.18910378531261693</v>
      </c>
      <c r="E26" s="247">
        <f t="shared" si="0"/>
        <v>0.19147754681239829</v>
      </c>
      <c r="F26" s="247">
        <f t="shared" si="0"/>
        <v>0.20433108737949798</v>
      </c>
      <c r="G26" s="247">
        <f t="shared" si="0"/>
        <v>0.20908928577222008</v>
      </c>
      <c r="H26" s="247">
        <f t="shared" si="0"/>
        <v>0.21290335796530535</v>
      </c>
      <c r="I26" s="247">
        <f t="shared" si="0"/>
        <v>0.21458996838297409</v>
      </c>
      <c r="J26" s="247">
        <f t="shared" si="0"/>
        <v>0.21474129821841759</v>
      </c>
      <c r="K26" s="247">
        <f t="shared" si="0"/>
        <v>0.22271517995486215</v>
      </c>
      <c r="L26" s="247">
        <f t="shared" si="0"/>
        <v>0.23006827157691298</v>
      </c>
      <c r="M26" s="247">
        <f t="shared" si="0"/>
        <v>0.23786368760939358</v>
      </c>
      <c r="N26" s="247">
        <f t="shared" si="0"/>
        <v>0.23728472945369394</v>
      </c>
      <c r="O26" s="247">
        <f t="shared" si="0"/>
        <v>0.23542266044033489</v>
      </c>
      <c r="P26" s="247">
        <f t="shared" si="0"/>
        <v>0.24051328877901959</v>
      </c>
      <c r="Q26" s="247">
        <f t="shared" si="0"/>
        <v>0.2376462218621759</v>
      </c>
      <c r="R26" s="247">
        <f t="shared" si="0"/>
        <v>0.2426951534828197</v>
      </c>
      <c r="S26" s="247">
        <f t="shared" si="0"/>
        <v>0.24402429023100686</v>
      </c>
      <c r="T26" s="247">
        <f t="shared" si="0"/>
        <v>0.24645241763044026</v>
      </c>
      <c r="U26" s="247">
        <f t="shared" si="0"/>
        <v>0.25218555094551737</v>
      </c>
      <c r="V26" s="247">
        <f>V18/V11</f>
        <v>0.25229454984097249</v>
      </c>
    </row>
    <row r="27" spans="1:27" x14ac:dyDescent="0.25">
      <c r="A27" s="246" t="s">
        <v>392</v>
      </c>
      <c r="D27" s="248">
        <f>D18/(D18+D16+D15+D14)</f>
        <v>0.3217783528646031</v>
      </c>
      <c r="E27" s="247">
        <f t="shared" ref="E27:U27" si="1">E18/(E18+E16+E15+E14)</f>
        <v>0.32395125541240577</v>
      </c>
      <c r="F27" s="247">
        <f t="shared" si="1"/>
        <v>0.34273228248012882</v>
      </c>
      <c r="G27" s="247">
        <f t="shared" si="1"/>
        <v>0.34471172374672759</v>
      </c>
      <c r="H27" s="247">
        <f t="shared" si="1"/>
        <v>0.35325296463077777</v>
      </c>
      <c r="I27" s="247">
        <f t="shared" si="1"/>
        <v>0.3534466046953621</v>
      </c>
      <c r="J27" s="247">
        <f t="shared" si="1"/>
        <v>0.35120832649170824</v>
      </c>
      <c r="K27" s="247">
        <f t="shared" si="1"/>
        <v>0.36215405677870433</v>
      </c>
      <c r="L27" s="247">
        <f t="shared" si="1"/>
        <v>0.37687789255751003</v>
      </c>
      <c r="M27" s="247">
        <f t="shared" si="1"/>
        <v>0.38666238545455239</v>
      </c>
      <c r="N27" s="247">
        <f t="shared" si="1"/>
        <v>0.39049786290022165</v>
      </c>
      <c r="O27" s="247">
        <f t="shared" si="1"/>
        <v>0.3870512108756452</v>
      </c>
      <c r="P27" s="247">
        <f t="shared" si="1"/>
        <v>0.40108888727667957</v>
      </c>
      <c r="Q27" s="247">
        <f t="shared" si="1"/>
        <v>0.39942110710278506</v>
      </c>
      <c r="R27" s="247">
        <f t="shared" si="1"/>
        <v>0.40585112662626993</v>
      </c>
      <c r="S27" s="247">
        <f t="shared" si="1"/>
        <v>0.40802668141936499</v>
      </c>
      <c r="T27" s="247">
        <f t="shared" si="1"/>
        <v>0.41398221088263321</v>
      </c>
      <c r="U27" s="247">
        <f t="shared" si="1"/>
        <v>0.43096037086247846</v>
      </c>
      <c r="V27" s="248">
        <f>V18/(V18+V16+V15+V14)</f>
        <v>0.42165243084642096</v>
      </c>
    </row>
    <row r="28" spans="1:27" x14ac:dyDescent="0.25">
      <c r="D28" s="247"/>
      <c r="E28" s="247"/>
      <c r="F28" s="247"/>
      <c r="G28" s="247"/>
      <c r="H28" s="247"/>
      <c r="I28" s="247"/>
      <c r="J28" s="247"/>
      <c r="K28" s="247"/>
      <c r="L28" s="247"/>
      <c r="M28" s="247"/>
      <c r="N28" s="247"/>
      <c r="O28" s="247"/>
      <c r="P28" s="247"/>
      <c r="Q28" s="247"/>
      <c r="R28" s="247"/>
      <c r="S28" s="247"/>
      <c r="T28" s="247"/>
      <c r="U28" s="247"/>
    </row>
    <row r="29" spans="1:27" x14ac:dyDescent="0.25">
      <c r="D29" s="245"/>
      <c r="E29" s="245"/>
      <c r="F29" s="245"/>
      <c r="G29" s="245"/>
      <c r="H29" s="245"/>
      <c r="I29" s="245"/>
      <c r="J29" s="245"/>
      <c r="K29" s="245"/>
      <c r="L29" s="245"/>
      <c r="M29" s="245"/>
      <c r="N29" s="245"/>
      <c r="O29" s="245"/>
      <c r="P29" s="245"/>
      <c r="Q29" s="245"/>
      <c r="R29" s="245"/>
      <c r="S29" s="245"/>
      <c r="T29" s="245"/>
      <c r="U29" s="245"/>
    </row>
    <row r="30" spans="1:27" x14ac:dyDescent="0.25">
      <c r="D30" s="245"/>
      <c r="E30" s="245"/>
      <c r="F30" s="245"/>
      <c r="G30" s="245"/>
      <c r="H30" s="245"/>
      <c r="I30" s="245"/>
      <c r="J30" s="245"/>
      <c r="K30" s="245"/>
      <c r="L30" s="245"/>
      <c r="M30" s="245"/>
      <c r="N30" s="245"/>
      <c r="O30" s="245"/>
      <c r="P30" s="245"/>
      <c r="Q30" s="245"/>
      <c r="R30" s="245"/>
      <c r="S30" s="245"/>
      <c r="T30" s="245"/>
      <c r="U30" s="245"/>
    </row>
    <row r="31" spans="1:27" s="226" customFormat="1" x14ac:dyDescent="0.25">
      <c r="A31" s="249"/>
      <c r="C31" s="228"/>
      <c r="D31" s="235"/>
      <c r="E31" s="235"/>
      <c r="F31" s="235"/>
      <c r="G31" s="235"/>
      <c r="H31" s="235"/>
      <c r="I31" s="235"/>
      <c r="J31" s="235"/>
      <c r="K31" s="235"/>
      <c r="L31" s="235"/>
      <c r="M31" s="235"/>
      <c r="N31" s="235"/>
      <c r="O31" s="235"/>
      <c r="P31" s="235"/>
      <c r="Q31" s="235"/>
      <c r="R31" s="235"/>
      <c r="S31" s="235"/>
      <c r="T31" s="235"/>
      <c r="U31" s="250"/>
    </row>
    <row r="32" spans="1:27" x14ac:dyDescent="0.25">
      <c r="D32" s="245"/>
      <c r="E32" s="245"/>
      <c r="F32" s="245"/>
      <c r="G32" s="245"/>
      <c r="H32" s="245"/>
      <c r="I32" s="245"/>
      <c r="J32" s="245"/>
      <c r="K32" s="245"/>
      <c r="L32" s="245"/>
      <c r="M32" s="245"/>
      <c r="N32" s="245"/>
      <c r="O32" s="245"/>
      <c r="P32" s="245"/>
      <c r="Q32" s="245"/>
      <c r="R32" s="245"/>
      <c r="S32" s="245"/>
      <c r="T32" s="245"/>
      <c r="U32" s="245"/>
    </row>
    <row r="33" spans="4:21" x14ac:dyDescent="0.25">
      <c r="D33" s="245"/>
      <c r="E33" s="245"/>
      <c r="F33" s="245"/>
      <c r="G33" s="245"/>
      <c r="H33" s="245"/>
      <c r="I33" s="245"/>
      <c r="J33" s="245"/>
      <c r="K33" s="245"/>
      <c r="L33" s="245"/>
      <c r="M33" s="245"/>
      <c r="N33" s="245"/>
      <c r="O33" s="245"/>
      <c r="P33" s="245"/>
      <c r="Q33" s="245"/>
      <c r="R33" s="245"/>
      <c r="S33" s="245"/>
      <c r="T33" s="245"/>
      <c r="U33" s="245"/>
    </row>
    <row r="35" spans="4:21" x14ac:dyDescent="0.25">
      <c r="D35" s="245"/>
      <c r="E35" s="245"/>
      <c r="F35" s="245"/>
      <c r="G35" s="245"/>
      <c r="H35" s="245"/>
      <c r="I35" s="245"/>
      <c r="J35" s="245"/>
      <c r="K35" s="245"/>
      <c r="L35" s="245"/>
      <c r="M35" s="245"/>
      <c r="N35" s="245"/>
      <c r="O35" s="245"/>
      <c r="P35" s="245"/>
      <c r="Q35" s="245"/>
      <c r="R35" s="245"/>
      <c r="S35" s="245"/>
      <c r="T35" s="245"/>
      <c r="U35" s="2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Odyssee data</vt:lpstr>
      <vt:lpstr>Eurostat data</vt:lpstr>
      <vt:lpstr>EEA data</vt:lpstr>
      <vt:lpstr>Introduction!_ftnref1</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2011-06-30T08:32:36Z</dcterms:created>
  <dcterms:modified xsi:type="dcterms:W3CDTF">2011-06-30T08:33:00Z</dcterms:modified>
</cp:coreProperties>
</file>